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x-fs\kabudata\月報\geppou\月報1\・HP用データ\HP用相場表-データ\ETF相場表作成\"/>
    </mc:Choice>
  </mc:AlternateContent>
  <xr:revisionPtr revIDLastSave="0" documentId="13_ncr:1_{F4565DDA-1F0A-48B6-B74B-4A46FD8FBCE5}" xr6:coauthVersionLast="47" xr6:coauthVersionMax="47" xr10:uidLastSave="{00000000-0000-0000-0000-000000000000}"/>
  <bookViews>
    <workbookView xWindow="-120" yWindow="-120" windowWidth="29040" windowHeight="15840" xr2:uid="{83A47E7C-9A24-47D3-BB6F-FB29FB92B0E2}"/>
  </bookViews>
  <sheets>
    <sheet name="2022.12" sheetId="23" r:id="rId1"/>
    <sheet name="2022.11" sheetId="22" r:id="rId2"/>
    <sheet name="2022.10" sheetId="21" r:id="rId3"/>
    <sheet name="2022.09" sheetId="20" r:id="rId4"/>
    <sheet name="2022.08" sheetId="19" r:id="rId5"/>
    <sheet name="2022.07" sheetId="18" r:id="rId6"/>
    <sheet name="2022.06" sheetId="17" r:id="rId7"/>
    <sheet name="2022.05" sheetId="16" r:id="rId8"/>
    <sheet name="2022.04" sheetId="15" r:id="rId9"/>
    <sheet name="2022.03" sheetId="14" r:id="rId10"/>
    <sheet name="2022.02" sheetId="13" r:id="rId11"/>
    <sheet name="2022.01" sheetId="12" r:id="rId12"/>
  </sheets>
  <definedNames>
    <definedName name="_xlnm.Print_Titles" localSheetId="11">'2022.01'!$1:$6</definedName>
    <definedName name="_xlnm.Print_Titles" localSheetId="10">'2022.02'!$1:$6</definedName>
    <definedName name="_xlnm.Print_Titles" localSheetId="9">'2022.03'!$1:$6</definedName>
    <definedName name="_xlnm.Print_Titles" localSheetId="8">'2022.04'!$1:$6</definedName>
    <definedName name="_xlnm.Print_Titles" localSheetId="7">'2022.05'!$1:$6</definedName>
    <definedName name="_xlnm.Print_Titles" localSheetId="6">'2022.06'!$1:$6</definedName>
    <definedName name="_xlnm.Print_Titles" localSheetId="5">'2022.07'!$1:$6</definedName>
    <definedName name="_xlnm.Print_Titles" localSheetId="4">'2022.08'!$1:$6</definedName>
    <definedName name="_xlnm.Print_Titles" localSheetId="3">'2022.09'!$1:$6</definedName>
    <definedName name="_xlnm.Print_Titles" localSheetId="2">'2022.10'!$1:$6</definedName>
    <definedName name="_xlnm.Print_Titles" localSheetId="1">'2022.11'!$1:$6</definedName>
    <definedName name="_xlnm.Print_Titles" localSheetId="0">'2022.12'!$1:$6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3" i="23" l="1"/>
  <c r="W313" i="23"/>
  <c r="V313" i="23"/>
  <c r="U313" i="23"/>
  <c r="T313" i="23"/>
  <c r="S313" i="23"/>
  <c r="Q313" i="23"/>
  <c r="O313" i="23"/>
  <c r="M313" i="23"/>
  <c r="K313" i="23"/>
  <c r="X312" i="23"/>
  <c r="W312" i="23"/>
  <c r="V312" i="23"/>
  <c r="U312" i="23"/>
  <c r="T312" i="23"/>
  <c r="S312" i="23"/>
  <c r="Q312" i="23"/>
  <c r="O312" i="23"/>
  <c r="M312" i="23"/>
  <c r="K312" i="23"/>
  <c r="X311" i="23"/>
  <c r="W311" i="23"/>
  <c r="V311" i="23"/>
  <c r="U311" i="23"/>
  <c r="T311" i="23"/>
  <c r="S311" i="23"/>
  <c r="Q311" i="23"/>
  <c r="O311" i="23"/>
  <c r="M311" i="23"/>
  <c r="K311" i="23"/>
  <c r="X310" i="23"/>
  <c r="W310" i="23"/>
  <c r="V310" i="23"/>
  <c r="U310" i="23"/>
  <c r="T310" i="23"/>
  <c r="S310" i="23"/>
  <c r="Q310" i="23"/>
  <c r="O310" i="23"/>
  <c r="M310" i="23"/>
  <c r="K310" i="23"/>
  <c r="X309" i="23"/>
  <c r="W309" i="23"/>
  <c r="V309" i="23"/>
  <c r="U309" i="23"/>
  <c r="T309" i="23"/>
  <c r="S309" i="23"/>
  <c r="Q309" i="23"/>
  <c r="O309" i="23"/>
  <c r="M309" i="23"/>
  <c r="K309" i="23"/>
  <c r="X308" i="23"/>
  <c r="W308" i="23"/>
  <c r="V308" i="23"/>
  <c r="U308" i="23"/>
  <c r="T308" i="23"/>
  <c r="S308" i="23"/>
  <c r="Q308" i="23"/>
  <c r="O308" i="23"/>
  <c r="M308" i="23"/>
  <c r="K308" i="23"/>
  <c r="X307" i="23"/>
  <c r="W307" i="23"/>
  <c r="V307" i="23"/>
  <c r="U307" i="23"/>
  <c r="T307" i="23"/>
  <c r="S307" i="23"/>
  <c r="Q307" i="23"/>
  <c r="O307" i="23"/>
  <c r="M307" i="23"/>
  <c r="K307" i="23"/>
  <c r="X306" i="23"/>
  <c r="W306" i="23"/>
  <c r="V306" i="23"/>
  <c r="U306" i="23"/>
  <c r="T306" i="23"/>
  <c r="S306" i="23"/>
  <c r="Q306" i="23"/>
  <c r="O306" i="23"/>
  <c r="M306" i="23"/>
  <c r="K306" i="23"/>
  <c r="X305" i="23"/>
  <c r="W305" i="23"/>
  <c r="V305" i="23"/>
  <c r="U305" i="23"/>
  <c r="T305" i="23"/>
  <c r="S305" i="23"/>
  <c r="Q305" i="23"/>
  <c r="O305" i="23"/>
  <c r="M305" i="23"/>
  <c r="K305" i="23"/>
  <c r="X304" i="23"/>
  <c r="W304" i="23"/>
  <c r="V304" i="23"/>
  <c r="U304" i="23"/>
  <c r="T304" i="23"/>
  <c r="S304" i="23"/>
  <c r="Q304" i="23"/>
  <c r="O304" i="23"/>
  <c r="M304" i="23"/>
  <c r="K304" i="23"/>
  <c r="X303" i="23"/>
  <c r="W303" i="23"/>
  <c r="V303" i="23"/>
  <c r="U303" i="23"/>
  <c r="T303" i="23"/>
  <c r="S303" i="23"/>
  <c r="Q303" i="23"/>
  <c r="O303" i="23"/>
  <c r="M303" i="23"/>
  <c r="K303" i="23"/>
  <c r="X302" i="23"/>
  <c r="W302" i="23"/>
  <c r="V302" i="23"/>
  <c r="U302" i="23"/>
  <c r="T302" i="23"/>
  <c r="S302" i="23"/>
  <c r="Q302" i="23"/>
  <c r="O302" i="23"/>
  <c r="M302" i="23"/>
  <c r="K302" i="23"/>
  <c r="X301" i="23"/>
  <c r="W301" i="23"/>
  <c r="V301" i="23"/>
  <c r="U301" i="23"/>
  <c r="T301" i="23"/>
  <c r="S301" i="23"/>
  <c r="Q301" i="23"/>
  <c r="O301" i="23"/>
  <c r="M301" i="23"/>
  <c r="K301" i="23"/>
  <c r="X300" i="23"/>
  <c r="W300" i="23"/>
  <c r="V300" i="23"/>
  <c r="U300" i="23"/>
  <c r="T300" i="23"/>
  <c r="S300" i="23"/>
  <c r="Q300" i="23"/>
  <c r="O300" i="23"/>
  <c r="M300" i="23"/>
  <c r="K300" i="23"/>
  <c r="X299" i="23"/>
  <c r="W299" i="23"/>
  <c r="V299" i="23"/>
  <c r="U299" i="23"/>
  <c r="T299" i="23"/>
  <c r="S299" i="23"/>
  <c r="Q299" i="23"/>
  <c r="O299" i="23"/>
  <c r="M299" i="23"/>
  <c r="K299" i="23"/>
  <c r="X298" i="23"/>
  <c r="W298" i="23"/>
  <c r="V298" i="23"/>
  <c r="U298" i="23"/>
  <c r="T298" i="23"/>
  <c r="S298" i="23"/>
  <c r="Q298" i="23"/>
  <c r="O298" i="23"/>
  <c r="M298" i="23"/>
  <c r="K298" i="23"/>
  <c r="X297" i="23"/>
  <c r="W297" i="23"/>
  <c r="V297" i="23"/>
  <c r="U297" i="23"/>
  <c r="T297" i="23"/>
  <c r="S297" i="23"/>
  <c r="Q297" i="23"/>
  <c r="O297" i="23"/>
  <c r="M297" i="23"/>
  <c r="K297" i="23"/>
  <c r="X296" i="23"/>
  <c r="W296" i="23"/>
  <c r="V296" i="23"/>
  <c r="U296" i="23"/>
  <c r="T296" i="23"/>
  <c r="S296" i="23"/>
  <c r="Q296" i="23"/>
  <c r="O296" i="23"/>
  <c r="M296" i="23"/>
  <c r="K296" i="23"/>
  <c r="X295" i="23"/>
  <c r="W295" i="23"/>
  <c r="V295" i="23"/>
  <c r="U295" i="23"/>
  <c r="T295" i="23"/>
  <c r="S295" i="23"/>
  <c r="Q295" i="23"/>
  <c r="O295" i="23"/>
  <c r="M295" i="23"/>
  <c r="K295" i="23"/>
  <c r="X294" i="23"/>
  <c r="W294" i="23"/>
  <c r="V294" i="23"/>
  <c r="U294" i="23"/>
  <c r="T294" i="23"/>
  <c r="S294" i="23"/>
  <c r="Q294" i="23"/>
  <c r="O294" i="23"/>
  <c r="M294" i="23"/>
  <c r="K294" i="23"/>
  <c r="X293" i="23"/>
  <c r="W293" i="23"/>
  <c r="V293" i="23"/>
  <c r="U293" i="23"/>
  <c r="T293" i="23"/>
  <c r="S293" i="23"/>
  <c r="Q293" i="23"/>
  <c r="O293" i="23"/>
  <c r="M293" i="23"/>
  <c r="K293" i="23"/>
  <c r="X292" i="23"/>
  <c r="W292" i="23"/>
  <c r="V292" i="23"/>
  <c r="U292" i="23"/>
  <c r="T292" i="23"/>
  <c r="S292" i="23"/>
  <c r="Q292" i="23"/>
  <c r="O292" i="23"/>
  <c r="M292" i="23"/>
  <c r="K292" i="23"/>
  <c r="X291" i="23"/>
  <c r="W291" i="23"/>
  <c r="V291" i="23"/>
  <c r="U291" i="23"/>
  <c r="T291" i="23"/>
  <c r="S291" i="23"/>
  <c r="Q291" i="23"/>
  <c r="O291" i="23"/>
  <c r="M291" i="23"/>
  <c r="K291" i="23"/>
  <c r="X290" i="23"/>
  <c r="W290" i="23"/>
  <c r="V290" i="23"/>
  <c r="U290" i="23"/>
  <c r="T290" i="23"/>
  <c r="S290" i="23"/>
  <c r="Q290" i="23"/>
  <c r="O290" i="23"/>
  <c r="M290" i="23"/>
  <c r="K290" i="23"/>
  <c r="X289" i="23"/>
  <c r="W289" i="23"/>
  <c r="V289" i="23"/>
  <c r="U289" i="23"/>
  <c r="T289" i="23"/>
  <c r="S289" i="23"/>
  <c r="Q289" i="23"/>
  <c r="O289" i="23"/>
  <c r="M289" i="23"/>
  <c r="K289" i="23"/>
  <c r="X288" i="23"/>
  <c r="W288" i="23"/>
  <c r="V288" i="23"/>
  <c r="U288" i="23"/>
  <c r="T288" i="23"/>
  <c r="S288" i="23"/>
  <c r="Q288" i="23"/>
  <c r="O288" i="23"/>
  <c r="M288" i="23"/>
  <c r="K288" i="23"/>
  <c r="X287" i="23"/>
  <c r="W287" i="23"/>
  <c r="V287" i="23"/>
  <c r="U287" i="23"/>
  <c r="T287" i="23"/>
  <c r="S287" i="23"/>
  <c r="Q287" i="23"/>
  <c r="O287" i="23"/>
  <c r="M287" i="23"/>
  <c r="K287" i="23"/>
  <c r="X286" i="23"/>
  <c r="W286" i="23"/>
  <c r="V286" i="23"/>
  <c r="U286" i="23"/>
  <c r="T286" i="23"/>
  <c r="S286" i="23"/>
  <c r="Q286" i="23"/>
  <c r="O286" i="23"/>
  <c r="M286" i="23"/>
  <c r="K286" i="23"/>
  <c r="X285" i="23"/>
  <c r="W285" i="23"/>
  <c r="V285" i="23"/>
  <c r="U285" i="23"/>
  <c r="T285" i="23"/>
  <c r="S285" i="23"/>
  <c r="Q285" i="23"/>
  <c r="O285" i="23"/>
  <c r="M285" i="23"/>
  <c r="K285" i="23"/>
  <c r="X284" i="23"/>
  <c r="W284" i="23"/>
  <c r="V284" i="23"/>
  <c r="U284" i="23"/>
  <c r="T284" i="23"/>
  <c r="S284" i="23"/>
  <c r="Q284" i="23"/>
  <c r="O284" i="23"/>
  <c r="M284" i="23"/>
  <c r="K284" i="23"/>
  <c r="X283" i="23"/>
  <c r="W283" i="23"/>
  <c r="V283" i="23"/>
  <c r="U283" i="23"/>
  <c r="T283" i="23"/>
  <c r="S283" i="23"/>
  <c r="Q283" i="23"/>
  <c r="O283" i="23"/>
  <c r="M283" i="23"/>
  <c r="K283" i="23"/>
  <c r="X282" i="23"/>
  <c r="W282" i="23"/>
  <c r="V282" i="23"/>
  <c r="U282" i="23"/>
  <c r="T282" i="23"/>
  <c r="S282" i="23"/>
  <c r="Q282" i="23"/>
  <c r="O282" i="23"/>
  <c r="M282" i="23"/>
  <c r="K282" i="23"/>
  <c r="X281" i="23"/>
  <c r="W281" i="23"/>
  <c r="V281" i="23"/>
  <c r="U281" i="23"/>
  <c r="T281" i="23"/>
  <c r="S281" i="23"/>
  <c r="Q281" i="23"/>
  <c r="O281" i="23"/>
  <c r="M281" i="23"/>
  <c r="K281" i="23"/>
  <c r="X280" i="23"/>
  <c r="W280" i="23"/>
  <c r="V280" i="23"/>
  <c r="U280" i="23"/>
  <c r="T280" i="23"/>
  <c r="S280" i="23"/>
  <c r="Q280" i="23"/>
  <c r="O280" i="23"/>
  <c r="M280" i="23"/>
  <c r="K280" i="23"/>
  <c r="X279" i="23"/>
  <c r="W279" i="23"/>
  <c r="V279" i="23"/>
  <c r="U279" i="23"/>
  <c r="T279" i="23"/>
  <c r="S279" i="23"/>
  <c r="Q279" i="23"/>
  <c r="O279" i="23"/>
  <c r="M279" i="23"/>
  <c r="K279" i="23"/>
  <c r="X278" i="23"/>
  <c r="W278" i="23"/>
  <c r="V278" i="23"/>
  <c r="U278" i="23"/>
  <c r="T278" i="23"/>
  <c r="S278" i="23"/>
  <c r="Q278" i="23"/>
  <c r="O278" i="23"/>
  <c r="M278" i="23"/>
  <c r="K278" i="23"/>
  <c r="X277" i="23"/>
  <c r="W277" i="23"/>
  <c r="V277" i="23"/>
  <c r="U277" i="23"/>
  <c r="T277" i="23"/>
  <c r="S277" i="23"/>
  <c r="Q277" i="23"/>
  <c r="O277" i="23"/>
  <c r="M277" i="23"/>
  <c r="K277" i="23"/>
  <c r="X276" i="23"/>
  <c r="W276" i="23"/>
  <c r="V276" i="23"/>
  <c r="U276" i="23"/>
  <c r="T276" i="23"/>
  <c r="S276" i="23"/>
  <c r="Q276" i="23"/>
  <c r="O276" i="23"/>
  <c r="M276" i="23"/>
  <c r="K276" i="23"/>
  <c r="X275" i="23"/>
  <c r="W275" i="23"/>
  <c r="V275" i="23"/>
  <c r="U275" i="23"/>
  <c r="T275" i="23"/>
  <c r="S275" i="23"/>
  <c r="Q275" i="23"/>
  <c r="O275" i="23"/>
  <c r="M275" i="23"/>
  <c r="K275" i="23"/>
  <c r="X274" i="23"/>
  <c r="W274" i="23"/>
  <c r="V274" i="23"/>
  <c r="U274" i="23"/>
  <c r="T274" i="23"/>
  <c r="S274" i="23"/>
  <c r="Q274" i="23"/>
  <c r="O274" i="23"/>
  <c r="M274" i="23"/>
  <c r="K274" i="23"/>
  <c r="X273" i="23"/>
  <c r="W273" i="23"/>
  <c r="V273" i="23"/>
  <c r="U273" i="23"/>
  <c r="T273" i="23"/>
  <c r="S273" i="23"/>
  <c r="Q273" i="23"/>
  <c r="O273" i="23"/>
  <c r="M273" i="23"/>
  <c r="K273" i="23"/>
  <c r="X272" i="23"/>
  <c r="W272" i="23"/>
  <c r="V272" i="23"/>
  <c r="U272" i="23"/>
  <c r="T272" i="23"/>
  <c r="S272" i="23"/>
  <c r="Q272" i="23"/>
  <c r="O272" i="23"/>
  <c r="M272" i="23"/>
  <c r="K272" i="23"/>
  <c r="X271" i="23"/>
  <c r="W271" i="23"/>
  <c r="V271" i="23"/>
  <c r="U271" i="23"/>
  <c r="T271" i="23"/>
  <c r="S271" i="23"/>
  <c r="Q271" i="23"/>
  <c r="O271" i="23"/>
  <c r="M271" i="23"/>
  <c r="K271" i="23"/>
  <c r="X270" i="23"/>
  <c r="W270" i="23"/>
  <c r="V270" i="23"/>
  <c r="U270" i="23"/>
  <c r="T270" i="23"/>
  <c r="S270" i="23"/>
  <c r="Q270" i="23"/>
  <c r="O270" i="23"/>
  <c r="M270" i="23"/>
  <c r="K270" i="23"/>
  <c r="X269" i="23"/>
  <c r="W269" i="23"/>
  <c r="V269" i="23"/>
  <c r="U269" i="23"/>
  <c r="T269" i="23"/>
  <c r="S269" i="23"/>
  <c r="Q269" i="23"/>
  <c r="O269" i="23"/>
  <c r="M269" i="23"/>
  <c r="K269" i="23"/>
  <c r="X268" i="23"/>
  <c r="W268" i="23"/>
  <c r="V268" i="23"/>
  <c r="U268" i="23"/>
  <c r="T268" i="23"/>
  <c r="S268" i="23"/>
  <c r="Q268" i="23"/>
  <c r="O268" i="23"/>
  <c r="M268" i="23"/>
  <c r="K268" i="23"/>
  <c r="X267" i="23"/>
  <c r="W267" i="23"/>
  <c r="V267" i="23"/>
  <c r="U267" i="23"/>
  <c r="T267" i="23"/>
  <c r="S267" i="23"/>
  <c r="Q267" i="23"/>
  <c r="O267" i="23"/>
  <c r="M267" i="23"/>
  <c r="K267" i="23"/>
  <c r="X266" i="23"/>
  <c r="W266" i="23"/>
  <c r="V266" i="23"/>
  <c r="U266" i="23"/>
  <c r="T266" i="23"/>
  <c r="S266" i="23"/>
  <c r="Q266" i="23"/>
  <c r="O266" i="23"/>
  <c r="M266" i="23"/>
  <c r="K266" i="23"/>
  <c r="X265" i="23"/>
  <c r="W265" i="23"/>
  <c r="V265" i="23"/>
  <c r="U265" i="23"/>
  <c r="T265" i="23"/>
  <c r="S265" i="23"/>
  <c r="Q265" i="23"/>
  <c r="O265" i="23"/>
  <c r="M265" i="23"/>
  <c r="K265" i="23"/>
  <c r="X264" i="23"/>
  <c r="W264" i="23"/>
  <c r="V264" i="23"/>
  <c r="U264" i="23"/>
  <c r="T264" i="23"/>
  <c r="S264" i="23"/>
  <c r="Q264" i="23"/>
  <c r="O264" i="23"/>
  <c r="M264" i="23"/>
  <c r="K264" i="23"/>
  <c r="X263" i="23"/>
  <c r="W263" i="23"/>
  <c r="V263" i="23"/>
  <c r="U263" i="23"/>
  <c r="T263" i="23"/>
  <c r="S263" i="23"/>
  <c r="Q263" i="23"/>
  <c r="O263" i="23"/>
  <c r="M263" i="23"/>
  <c r="K263" i="23"/>
  <c r="X262" i="23"/>
  <c r="W262" i="23"/>
  <c r="V262" i="23"/>
  <c r="U262" i="23"/>
  <c r="T262" i="23"/>
  <c r="S262" i="23"/>
  <c r="Q262" i="23"/>
  <c r="O262" i="23"/>
  <c r="M262" i="23"/>
  <c r="K262" i="23"/>
  <c r="X261" i="23"/>
  <c r="W261" i="23"/>
  <c r="V261" i="23"/>
  <c r="U261" i="23"/>
  <c r="T261" i="23"/>
  <c r="S261" i="23"/>
  <c r="Q261" i="23"/>
  <c r="O261" i="23"/>
  <c r="M261" i="23"/>
  <c r="K261" i="23"/>
  <c r="X260" i="23"/>
  <c r="W260" i="23"/>
  <c r="V260" i="23"/>
  <c r="U260" i="23"/>
  <c r="T260" i="23"/>
  <c r="S260" i="23"/>
  <c r="Q260" i="23"/>
  <c r="O260" i="23"/>
  <c r="M260" i="23"/>
  <c r="K260" i="23"/>
  <c r="X259" i="23"/>
  <c r="W259" i="23"/>
  <c r="V259" i="23"/>
  <c r="U259" i="23"/>
  <c r="T259" i="23"/>
  <c r="S259" i="23"/>
  <c r="Q259" i="23"/>
  <c r="O259" i="23"/>
  <c r="M259" i="23"/>
  <c r="K259" i="23"/>
  <c r="X258" i="23"/>
  <c r="W258" i="23"/>
  <c r="V258" i="23"/>
  <c r="U258" i="23"/>
  <c r="T258" i="23"/>
  <c r="S258" i="23"/>
  <c r="Q258" i="23"/>
  <c r="O258" i="23"/>
  <c r="M258" i="23"/>
  <c r="K258" i="23"/>
  <c r="X257" i="23"/>
  <c r="W257" i="23"/>
  <c r="V257" i="23"/>
  <c r="U257" i="23"/>
  <c r="T257" i="23"/>
  <c r="S257" i="23"/>
  <c r="Q257" i="23"/>
  <c r="O257" i="23"/>
  <c r="M257" i="23"/>
  <c r="K257" i="23"/>
  <c r="X256" i="23"/>
  <c r="W256" i="23"/>
  <c r="V256" i="23"/>
  <c r="U256" i="23"/>
  <c r="T256" i="23"/>
  <c r="S256" i="23"/>
  <c r="Q256" i="23"/>
  <c r="O256" i="23"/>
  <c r="M256" i="23"/>
  <c r="K256" i="23"/>
  <c r="X255" i="23"/>
  <c r="W255" i="23"/>
  <c r="V255" i="23"/>
  <c r="U255" i="23"/>
  <c r="T255" i="23"/>
  <c r="S255" i="23"/>
  <c r="Q255" i="23"/>
  <c r="O255" i="23"/>
  <c r="M255" i="23"/>
  <c r="K255" i="23"/>
  <c r="X254" i="23"/>
  <c r="W254" i="23"/>
  <c r="V254" i="23"/>
  <c r="U254" i="23"/>
  <c r="T254" i="23"/>
  <c r="S254" i="23"/>
  <c r="Q254" i="23"/>
  <c r="O254" i="23"/>
  <c r="M254" i="23"/>
  <c r="K254" i="23"/>
  <c r="X253" i="23"/>
  <c r="W253" i="23"/>
  <c r="V253" i="23"/>
  <c r="U253" i="23"/>
  <c r="T253" i="23"/>
  <c r="S253" i="23"/>
  <c r="Q253" i="23"/>
  <c r="O253" i="23"/>
  <c r="M253" i="23"/>
  <c r="K253" i="23"/>
  <c r="X252" i="23"/>
  <c r="W252" i="23"/>
  <c r="V252" i="23"/>
  <c r="U252" i="23"/>
  <c r="T252" i="23"/>
  <c r="S252" i="23"/>
  <c r="Q252" i="23"/>
  <c r="O252" i="23"/>
  <c r="M252" i="23"/>
  <c r="K252" i="23"/>
  <c r="X251" i="23"/>
  <c r="W251" i="23"/>
  <c r="V251" i="23"/>
  <c r="U251" i="23"/>
  <c r="T251" i="23"/>
  <c r="S251" i="23"/>
  <c r="Q251" i="23"/>
  <c r="O251" i="23"/>
  <c r="M251" i="23"/>
  <c r="K251" i="23"/>
  <c r="X250" i="23"/>
  <c r="W250" i="23"/>
  <c r="V250" i="23"/>
  <c r="U250" i="23"/>
  <c r="T250" i="23"/>
  <c r="S250" i="23"/>
  <c r="Q250" i="23"/>
  <c r="O250" i="23"/>
  <c r="M250" i="23"/>
  <c r="K250" i="23"/>
  <c r="X249" i="23"/>
  <c r="W249" i="23"/>
  <c r="V249" i="23"/>
  <c r="U249" i="23"/>
  <c r="T249" i="23"/>
  <c r="S249" i="23"/>
  <c r="Q249" i="23"/>
  <c r="O249" i="23"/>
  <c r="M249" i="23"/>
  <c r="K249" i="23"/>
  <c r="X248" i="23"/>
  <c r="W248" i="23"/>
  <c r="V248" i="23"/>
  <c r="U248" i="23"/>
  <c r="T248" i="23"/>
  <c r="S248" i="23"/>
  <c r="Q248" i="23"/>
  <c r="O248" i="23"/>
  <c r="M248" i="23"/>
  <c r="K248" i="23"/>
  <c r="X247" i="23"/>
  <c r="W247" i="23"/>
  <c r="V247" i="23"/>
  <c r="U247" i="23"/>
  <c r="T247" i="23"/>
  <c r="S247" i="23"/>
  <c r="Q247" i="23"/>
  <c r="O247" i="23"/>
  <c r="M247" i="23"/>
  <c r="K247" i="23"/>
  <c r="X246" i="23"/>
  <c r="W246" i="23"/>
  <c r="V246" i="23"/>
  <c r="U246" i="23"/>
  <c r="T246" i="23"/>
  <c r="S246" i="23"/>
  <c r="Q246" i="23"/>
  <c r="O246" i="23"/>
  <c r="M246" i="23"/>
  <c r="K246" i="23"/>
  <c r="X245" i="23"/>
  <c r="W245" i="23"/>
  <c r="V245" i="23"/>
  <c r="U245" i="23"/>
  <c r="T245" i="23"/>
  <c r="S245" i="23"/>
  <c r="Q245" i="23"/>
  <c r="O245" i="23"/>
  <c r="M245" i="23"/>
  <c r="K245" i="23"/>
  <c r="X244" i="23"/>
  <c r="W244" i="23"/>
  <c r="V244" i="23"/>
  <c r="U244" i="23"/>
  <c r="T244" i="23"/>
  <c r="S244" i="23"/>
  <c r="Q244" i="23"/>
  <c r="O244" i="23"/>
  <c r="M244" i="23"/>
  <c r="K244" i="23"/>
  <c r="X243" i="23"/>
  <c r="W243" i="23"/>
  <c r="V243" i="23"/>
  <c r="U243" i="23"/>
  <c r="T243" i="23"/>
  <c r="S243" i="23"/>
  <c r="Q243" i="23"/>
  <c r="O243" i="23"/>
  <c r="M243" i="23"/>
  <c r="K243" i="23"/>
  <c r="X242" i="23"/>
  <c r="W242" i="23"/>
  <c r="V242" i="23"/>
  <c r="U242" i="23"/>
  <c r="T242" i="23"/>
  <c r="S242" i="23"/>
  <c r="Q242" i="23"/>
  <c r="O242" i="23"/>
  <c r="M242" i="23"/>
  <c r="K242" i="23"/>
  <c r="X241" i="23"/>
  <c r="W241" i="23"/>
  <c r="V241" i="23"/>
  <c r="U241" i="23"/>
  <c r="T241" i="23"/>
  <c r="S241" i="23"/>
  <c r="Q241" i="23"/>
  <c r="O241" i="23"/>
  <c r="M241" i="23"/>
  <c r="K241" i="23"/>
  <c r="X240" i="23"/>
  <c r="W240" i="23"/>
  <c r="V240" i="23"/>
  <c r="U240" i="23"/>
  <c r="T240" i="23"/>
  <c r="S240" i="23"/>
  <c r="Q240" i="23"/>
  <c r="O240" i="23"/>
  <c r="M240" i="23"/>
  <c r="K240" i="23"/>
  <c r="X239" i="23"/>
  <c r="W239" i="23"/>
  <c r="V239" i="23"/>
  <c r="U239" i="23"/>
  <c r="T239" i="23"/>
  <c r="S239" i="23"/>
  <c r="Q239" i="23"/>
  <c r="O239" i="23"/>
  <c r="M239" i="23"/>
  <c r="K239" i="23"/>
  <c r="X238" i="23"/>
  <c r="W238" i="23"/>
  <c r="V238" i="23"/>
  <c r="U238" i="23"/>
  <c r="T238" i="23"/>
  <c r="S238" i="23"/>
  <c r="Q238" i="23"/>
  <c r="O238" i="23"/>
  <c r="M238" i="23"/>
  <c r="K238" i="23"/>
  <c r="X237" i="23"/>
  <c r="W237" i="23"/>
  <c r="V237" i="23"/>
  <c r="U237" i="23"/>
  <c r="T237" i="23"/>
  <c r="S237" i="23"/>
  <c r="Q237" i="23"/>
  <c r="O237" i="23"/>
  <c r="M237" i="23"/>
  <c r="K237" i="23"/>
  <c r="X236" i="23"/>
  <c r="W236" i="23"/>
  <c r="V236" i="23"/>
  <c r="U236" i="23"/>
  <c r="T236" i="23"/>
  <c r="S236" i="23"/>
  <c r="Q236" i="23"/>
  <c r="O236" i="23"/>
  <c r="M236" i="23"/>
  <c r="K236" i="23"/>
  <c r="X235" i="23"/>
  <c r="W235" i="23"/>
  <c r="V235" i="23"/>
  <c r="U235" i="23"/>
  <c r="T235" i="23"/>
  <c r="S235" i="23"/>
  <c r="Q235" i="23"/>
  <c r="O235" i="23"/>
  <c r="M235" i="23"/>
  <c r="K235" i="23"/>
  <c r="X234" i="23"/>
  <c r="W234" i="23"/>
  <c r="V234" i="23"/>
  <c r="U234" i="23"/>
  <c r="T234" i="23"/>
  <c r="S234" i="23"/>
  <c r="Q234" i="23"/>
  <c r="O234" i="23"/>
  <c r="M234" i="23"/>
  <c r="K234" i="23"/>
  <c r="X233" i="23"/>
  <c r="W233" i="23"/>
  <c r="V233" i="23"/>
  <c r="U233" i="23"/>
  <c r="T233" i="23"/>
  <c r="S233" i="23"/>
  <c r="Q233" i="23"/>
  <c r="O233" i="23"/>
  <c r="M233" i="23"/>
  <c r="K233" i="23"/>
  <c r="X232" i="23"/>
  <c r="W232" i="23"/>
  <c r="V232" i="23"/>
  <c r="U232" i="23"/>
  <c r="T232" i="23"/>
  <c r="S232" i="23"/>
  <c r="Q232" i="23"/>
  <c r="O232" i="23"/>
  <c r="M232" i="23"/>
  <c r="K232" i="23"/>
  <c r="X231" i="23"/>
  <c r="W231" i="23"/>
  <c r="V231" i="23"/>
  <c r="U231" i="23"/>
  <c r="T231" i="23"/>
  <c r="S231" i="23"/>
  <c r="Q231" i="23"/>
  <c r="O231" i="23"/>
  <c r="M231" i="23"/>
  <c r="K231" i="23"/>
  <c r="X230" i="23"/>
  <c r="W230" i="23"/>
  <c r="V230" i="23"/>
  <c r="U230" i="23"/>
  <c r="T230" i="23"/>
  <c r="S230" i="23"/>
  <c r="Q230" i="23"/>
  <c r="O230" i="23"/>
  <c r="M230" i="23"/>
  <c r="K230" i="23"/>
  <c r="X229" i="23"/>
  <c r="W229" i="23"/>
  <c r="V229" i="23"/>
  <c r="U229" i="23"/>
  <c r="T229" i="23"/>
  <c r="S229" i="23"/>
  <c r="Q229" i="23"/>
  <c r="O229" i="23"/>
  <c r="M229" i="23"/>
  <c r="K229" i="23"/>
  <c r="X228" i="23"/>
  <c r="W228" i="23"/>
  <c r="V228" i="23"/>
  <c r="U228" i="23"/>
  <c r="T228" i="23"/>
  <c r="S228" i="23"/>
  <c r="Q228" i="23"/>
  <c r="O228" i="23"/>
  <c r="M228" i="23"/>
  <c r="K228" i="23"/>
  <c r="X227" i="23"/>
  <c r="W227" i="23"/>
  <c r="V227" i="23"/>
  <c r="U227" i="23"/>
  <c r="T227" i="23"/>
  <c r="S227" i="23"/>
  <c r="Q227" i="23"/>
  <c r="O227" i="23"/>
  <c r="M227" i="23"/>
  <c r="K227" i="23"/>
  <c r="X226" i="23"/>
  <c r="W226" i="23"/>
  <c r="V226" i="23"/>
  <c r="U226" i="23"/>
  <c r="T226" i="23"/>
  <c r="S226" i="23"/>
  <c r="Q226" i="23"/>
  <c r="O226" i="23"/>
  <c r="M226" i="23"/>
  <c r="K226" i="23"/>
  <c r="X225" i="23"/>
  <c r="W225" i="23"/>
  <c r="V225" i="23"/>
  <c r="U225" i="23"/>
  <c r="T225" i="23"/>
  <c r="S225" i="23"/>
  <c r="Q225" i="23"/>
  <c r="O225" i="23"/>
  <c r="M225" i="23"/>
  <c r="K225" i="23"/>
  <c r="X224" i="23"/>
  <c r="W224" i="23"/>
  <c r="V224" i="23"/>
  <c r="U224" i="23"/>
  <c r="T224" i="23"/>
  <c r="S224" i="23"/>
  <c r="Q224" i="23"/>
  <c r="O224" i="23"/>
  <c r="M224" i="23"/>
  <c r="K224" i="23"/>
  <c r="X223" i="23"/>
  <c r="W223" i="23"/>
  <c r="V223" i="23"/>
  <c r="U223" i="23"/>
  <c r="T223" i="23"/>
  <c r="S223" i="23"/>
  <c r="Q223" i="23"/>
  <c r="O223" i="23"/>
  <c r="M223" i="23"/>
  <c r="K223" i="23"/>
  <c r="X222" i="23"/>
  <c r="W222" i="23"/>
  <c r="V222" i="23"/>
  <c r="U222" i="23"/>
  <c r="T222" i="23"/>
  <c r="S222" i="23"/>
  <c r="Q222" i="23"/>
  <c r="O222" i="23"/>
  <c r="M222" i="23"/>
  <c r="K222" i="23"/>
  <c r="X221" i="23"/>
  <c r="W221" i="23"/>
  <c r="V221" i="23"/>
  <c r="U221" i="23"/>
  <c r="T221" i="23"/>
  <c r="S221" i="23"/>
  <c r="Q221" i="23"/>
  <c r="O221" i="23"/>
  <c r="M221" i="23"/>
  <c r="K221" i="23"/>
  <c r="X220" i="23"/>
  <c r="W220" i="23"/>
  <c r="V220" i="23"/>
  <c r="U220" i="23"/>
  <c r="T220" i="23"/>
  <c r="S220" i="23"/>
  <c r="Q220" i="23"/>
  <c r="O220" i="23"/>
  <c r="M220" i="23"/>
  <c r="K220" i="23"/>
  <c r="X219" i="23"/>
  <c r="W219" i="23"/>
  <c r="V219" i="23"/>
  <c r="U219" i="23"/>
  <c r="T219" i="23"/>
  <c r="S219" i="23"/>
  <c r="Q219" i="23"/>
  <c r="O219" i="23"/>
  <c r="M219" i="23"/>
  <c r="K219" i="23"/>
  <c r="X218" i="23"/>
  <c r="W218" i="23"/>
  <c r="V218" i="23"/>
  <c r="U218" i="23"/>
  <c r="T218" i="23"/>
  <c r="S218" i="23"/>
  <c r="Q218" i="23"/>
  <c r="O218" i="23"/>
  <c r="M218" i="23"/>
  <c r="K218" i="23"/>
  <c r="X217" i="23"/>
  <c r="W217" i="23"/>
  <c r="V217" i="23"/>
  <c r="U217" i="23"/>
  <c r="T217" i="23"/>
  <c r="S217" i="23"/>
  <c r="Q217" i="23"/>
  <c r="O217" i="23"/>
  <c r="M217" i="23"/>
  <c r="K217" i="23"/>
  <c r="X216" i="23"/>
  <c r="W216" i="23"/>
  <c r="V216" i="23"/>
  <c r="U216" i="23"/>
  <c r="T216" i="23"/>
  <c r="S216" i="23"/>
  <c r="Q216" i="23"/>
  <c r="O216" i="23"/>
  <c r="M216" i="23"/>
  <c r="K216" i="23"/>
  <c r="X215" i="23"/>
  <c r="W215" i="23"/>
  <c r="V215" i="23"/>
  <c r="U215" i="23"/>
  <c r="T215" i="23"/>
  <c r="S215" i="23"/>
  <c r="Q215" i="23"/>
  <c r="O215" i="23"/>
  <c r="M215" i="23"/>
  <c r="K215" i="23"/>
  <c r="X214" i="23"/>
  <c r="W214" i="23"/>
  <c r="V214" i="23"/>
  <c r="U214" i="23"/>
  <c r="T214" i="23"/>
  <c r="S214" i="23"/>
  <c r="Q214" i="23"/>
  <c r="O214" i="23"/>
  <c r="M214" i="23"/>
  <c r="K214" i="23"/>
  <c r="X213" i="23"/>
  <c r="W213" i="23"/>
  <c r="V213" i="23"/>
  <c r="U213" i="23"/>
  <c r="T213" i="23"/>
  <c r="S213" i="23"/>
  <c r="Q213" i="23"/>
  <c r="O213" i="23"/>
  <c r="M213" i="23"/>
  <c r="K213" i="23"/>
  <c r="X212" i="23"/>
  <c r="W212" i="23"/>
  <c r="V212" i="23"/>
  <c r="U212" i="23"/>
  <c r="T212" i="23"/>
  <c r="S212" i="23"/>
  <c r="Q212" i="23"/>
  <c r="O212" i="23"/>
  <c r="M212" i="23"/>
  <c r="K212" i="23"/>
  <c r="X211" i="23"/>
  <c r="W211" i="23"/>
  <c r="V211" i="23"/>
  <c r="U211" i="23"/>
  <c r="T211" i="23"/>
  <c r="S211" i="23"/>
  <c r="Q211" i="23"/>
  <c r="O211" i="23"/>
  <c r="M211" i="23"/>
  <c r="K211" i="23"/>
  <c r="X210" i="23"/>
  <c r="W210" i="23"/>
  <c r="V210" i="23"/>
  <c r="U210" i="23"/>
  <c r="T210" i="23"/>
  <c r="S210" i="23"/>
  <c r="Q210" i="23"/>
  <c r="O210" i="23"/>
  <c r="M210" i="23"/>
  <c r="K210" i="23"/>
  <c r="X209" i="23"/>
  <c r="W209" i="23"/>
  <c r="V209" i="23"/>
  <c r="U209" i="23"/>
  <c r="T209" i="23"/>
  <c r="S209" i="23"/>
  <c r="Q209" i="23"/>
  <c r="O209" i="23"/>
  <c r="M209" i="23"/>
  <c r="K209" i="23"/>
  <c r="X208" i="23"/>
  <c r="W208" i="23"/>
  <c r="V208" i="23"/>
  <c r="U208" i="23"/>
  <c r="T208" i="23"/>
  <c r="S208" i="23"/>
  <c r="Q208" i="23"/>
  <c r="O208" i="23"/>
  <c r="M208" i="23"/>
  <c r="K208" i="23"/>
  <c r="X207" i="23"/>
  <c r="W207" i="23"/>
  <c r="V207" i="23"/>
  <c r="U207" i="23"/>
  <c r="T207" i="23"/>
  <c r="S207" i="23"/>
  <c r="Q207" i="23"/>
  <c r="O207" i="23"/>
  <c r="M207" i="23"/>
  <c r="K207" i="23"/>
  <c r="X206" i="23"/>
  <c r="W206" i="23"/>
  <c r="V206" i="23"/>
  <c r="U206" i="23"/>
  <c r="T206" i="23"/>
  <c r="S206" i="23"/>
  <c r="Q206" i="23"/>
  <c r="O206" i="23"/>
  <c r="M206" i="23"/>
  <c r="K206" i="23"/>
  <c r="X205" i="23"/>
  <c r="W205" i="23"/>
  <c r="V205" i="23"/>
  <c r="U205" i="23"/>
  <c r="T205" i="23"/>
  <c r="S205" i="23"/>
  <c r="Q205" i="23"/>
  <c r="O205" i="23"/>
  <c r="M205" i="23"/>
  <c r="K205" i="23"/>
  <c r="X204" i="23"/>
  <c r="W204" i="23"/>
  <c r="V204" i="23"/>
  <c r="U204" i="23"/>
  <c r="T204" i="23"/>
  <c r="S204" i="23"/>
  <c r="Q204" i="23"/>
  <c r="O204" i="23"/>
  <c r="M204" i="23"/>
  <c r="K204" i="23"/>
  <c r="X203" i="23"/>
  <c r="W203" i="23"/>
  <c r="V203" i="23"/>
  <c r="U203" i="23"/>
  <c r="T203" i="23"/>
  <c r="S203" i="23"/>
  <c r="Q203" i="23"/>
  <c r="O203" i="23"/>
  <c r="M203" i="23"/>
  <c r="K203" i="23"/>
  <c r="X202" i="23"/>
  <c r="W202" i="23"/>
  <c r="V202" i="23"/>
  <c r="U202" i="23"/>
  <c r="T202" i="23"/>
  <c r="S202" i="23"/>
  <c r="Q202" i="23"/>
  <c r="O202" i="23"/>
  <c r="M202" i="23"/>
  <c r="K202" i="23"/>
  <c r="X201" i="23"/>
  <c r="W201" i="23"/>
  <c r="V201" i="23"/>
  <c r="U201" i="23"/>
  <c r="T201" i="23"/>
  <c r="S201" i="23"/>
  <c r="Q201" i="23"/>
  <c r="O201" i="23"/>
  <c r="M201" i="23"/>
  <c r="K201" i="23"/>
  <c r="X200" i="23"/>
  <c r="W200" i="23"/>
  <c r="V200" i="23"/>
  <c r="U200" i="23"/>
  <c r="T200" i="23"/>
  <c r="S200" i="23"/>
  <c r="Q200" i="23"/>
  <c r="O200" i="23"/>
  <c r="M200" i="23"/>
  <c r="K200" i="23"/>
  <c r="X199" i="23"/>
  <c r="W199" i="23"/>
  <c r="V199" i="23"/>
  <c r="U199" i="23"/>
  <c r="T199" i="23"/>
  <c r="S199" i="23"/>
  <c r="Q199" i="23"/>
  <c r="O199" i="23"/>
  <c r="M199" i="23"/>
  <c r="K199" i="23"/>
  <c r="X198" i="23"/>
  <c r="W198" i="23"/>
  <c r="V198" i="23"/>
  <c r="U198" i="23"/>
  <c r="T198" i="23"/>
  <c r="S198" i="23"/>
  <c r="Q198" i="23"/>
  <c r="O198" i="23"/>
  <c r="M198" i="23"/>
  <c r="K198" i="23"/>
  <c r="X197" i="23"/>
  <c r="W197" i="23"/>
  <c r="V197" i="23"/>
  <c r="U197" i="23"/>
  <c r="T197" i="23"/>
  <c r="S197" i="23"/>
  <c r="Q197" i="23"/>
  <c r="O197" i="23"/>
  <c r="M197" i="23"/>
  <c r="K197" i="23"/>
  <c r="X196" i="23"/>
  <c r="W196" i="23"/>
  <c r="V196" i="23"/>
  <c r="U196" i="23"/>
  <c r="T196" i="23"/>
  <c r="S196" i="23"/>
  <c r="Q196" i="23"/>
  <c r="O196" i="23"/>
  <c r="M196" i="23"/>
  <c r="K196" i="23"/>
  <c r="X195" i="23"/>
  <c r="W195" i="23"/>
  <c r="V195" i="23"/>
  <c r="U195" i="23"/>
  <c r="T195" i="23"/>
  <c r="S195" i="23"/>
  <c r="Q195" i="23"/>
  <c r="O195" i="23"/>
  <c r="M195" i="23"/>
  <c r="K195" i="23"/>
  <c r="X194" i="23"/>
  <c r="W194" i="23"/>
  <c r="V194" i="23"/>
  <c r="U194" i="23"/>
  <c r="T194" i="23"/>
  <c r="S194" i="23"/>
  <c r="Q194" i="23"/>
  <c r="O194" i="23"/>
  <c r="M194" i="23"/>
  <c r="K194" i="23"/>
  <c r="X193" i="23"/>
  <c r="W193" i="23"/>
  <c r="V193" i="23"/>
  <c r="U193" i="23"/>
  <c r="T193" i="23"/>
  <c r="S193" i="23"/>
  <c r="Q193" i="23"/>
  <c r="O193" i="23"/>
  <c r="M193" i="23"/>
  <c r="K193" i="23"/>
  <c r="X192" i="23"/>
  <c r="W192" i="23"/>
  <c r="V192" i="23"/>
  <c r="U192" i="23"/>
  <c r="T192" i="23"/>
  <c r="S192" i="23"/>
  <c r="Q192" i="23"/>
  <c r="O192" i="23"/>
  <c r="M192" i="23"/>
  <c r="K192" i="23"/>
  <c r="X191" i="23"/>
  <c r="W191" i="23"/>
  <c r="V191" i="23"/>
  <c r="U191" i="23"/>
  <c r="T191" i="23"/>
  <c r="S191" i="23"/>
  <c r="Q191" i="23"/>
  <c r="O191" i="23"/>
  <c r="M191" i="23"/>
  <c r="K191" i="23"/>
  <c r="X190" i="23"/>
  <c r="W190" i="23"/>
  <c r="V190" i="23"/>
  <c r="U190" i="23"/>
  <c r="T190" i="23"/>
  <c r="S190" i="23"/>
  <c r="Q190" i="23"/>
  <c r="O190" i="23"/>
  <c r="M190" i="23"/>
  <c r="K190" i="23"/>
  <c r="X189" i="23"/>
  <c r="W189" i="23"/>
  <c r="V189" i="23"/>
  <c r="U189" i="23"/>
  <c r="T189" i="23"/>
  <c r="S189" i="23"/>
  <c r="Q189" i="23"/>
  <c r="O189" i="23"/>
  <c r="M189" i="23"/>
  <c r="K189" i="23"/>
  <c r="X188" i="23"/>
  <c r="W188" i="23"/>
  <c r="V188" i="23"/>
  <c r="U188" i="23"/>
  <c r="T188" i="23"/>
  <c r="S188" i="23"/>
  <c r="Q188" i="23"/>
  <c r="O188" i="23"/>
  <c r="M188" i="23"/>
  <c r="K188" i="23"/>
  <c r="X187" i="23"/>
  <c r="W187" i="23"/>
  <c r="V187" i="23"/>
  <c r="U187" i="23"/>
  <c r="T187" i="23"/>
  <c r="S187" i="23"/>
  <c r="Q187" i="23"/>
  <c r="O187" i="23"/>
  <c r="M187" i="23"/>
  <c r="K187" i="23"/>
  <c r="X186" i="23"/>
  <c r="W186" i="23"/>
  <c r="V186" i="23"/>
  <c r="U186" i="23"/>
  <c r="T186" i="23"/>
  <c r="S186" i="23"/>
  <c r="Q186" i="23"/>
  <c r="O186" i="23"/>
  <c r="M186" i="23"/>
  <c r="K186" i="23"/>
  <c r="X185" i="23"/>
  <c r="W185" i="23"/>
  <c r="V185" i="23"/>
  <c r="U185" i="23"/>
  <c r="T185" i="23"/>
  <c r="S185" i="23"/>
  <c r="Q185" i="23"/>
  <c r="O185" i="23"/>
  <c r="M185" i="23"/>
  <c r="K185" i="23"/>
  <c r="X184" i="23"/>
  <c r="W184" i="23"/>
  <c r="V184" i="23"/>
  <c r="U184" i="23"/>
  <c r="T184" i="23"/>
  <c r="S184" i="23"/>
  <c r="Q184" i="23"/>
  <c r="O184" i="23"/>
  <c r="M184" i="23"/>
  <c r="K184" i="23"/>
  <c r="X183" i="23"/>
  <c r="W183" i="23"/>
  <c r="V183" i="23"/>
  <c r="U183" i="23"/>
  <c r="T183" i="23"/>
  <c r="S183" i="23"/>
  <c r="Q183" i="23"/>
  <c r="O183" i="23"/>
  <c r="M183" i="23"/>
  <c r="K183" i="23"/>
  <c r="X182" i="23"/>
  <c r="W182" i="23"/>
  <c r="V182" i="23"/>
  <c r="U182" i="23"/>
  <c r="T182" i="23"/>
  <c r="S182" i="23"/>
  <c r="Q182" i="23"/>
  <c r="O182" i="23"/>
  <c r="M182" i="23"/>
  <c r="K182" i="23"/>
  <c r="X181" i="23"/>
  <c r="W181" i="23"/>
  <c r="V181" i="23"/>
  <c r="U181" i="23"/>
  <c r="T181" i="23"/>
  <c r="S181" i="23"/>
  <c r="Q181" i="23"/>
  <c r="O181" i="23"/>
  <c r="M181" i="23"/>
  <c r="K181" i="23"/>
  <c r="X180" i="23"/>
  <c r="W180" i="23"/>
  <c r="V180" i="23"/>
  <c r="U180" i="23"/>
  <c r="T180" i="23"/>
  <c r="S180" i="23"/>
  <c r="Q180" i="23"/>
  <c r="O180" i="23"/>
  <c r="M180" i="23"/>
  <c r="K180" i="23"/>
  <c r="X179" i="23"/>
  <c r="W179" i="23"/>
  <c r="V179" i="23"/>
  <c r="U179" i="23"/>
  <c r="T179" i="23"/>
  <c r="S179" i="23"/>
  <c r="Q179" i="23"/>
  <c r="O179" i="23"/>
  <c r="M179" i="23"/>
  <c r="K179" i="23"/>
  <c r="X178" i="23"/>
  <c r="W178" i="23"/>
  <c r="V178" i="23"/>
  <c r="U178" i="23"/>
  <c r="T178" i="23"/>
  <c r="S178" i="23"/>
  <c r="Q178" i="23"/>
  <c r="O178" i="23"/>
  <c r="M178" i="23"/>
  <c r="K178" i="23"/>
  <c r="X177" i="23"/>
  <c r="W177" i="23"/>
  <c r="V177" i="23"/>
  <c r="U177" i="23"/>
  <c r="T177" i="23"/>
  <c r="S177" i="23"/>
  <c r="Q177" i="23"/>
  <c r="O177" i="23"/>
  <c r="M177" i="23"/>
  <c r="K177" i="23"/>
  <c r="X176" i="23"/>
  <c r="W176" i="23"/>
  <c r="V176" i="23"/>
  <c r="U176" i="23"/>
  <c r="T176" i="23"/>
  <c r="S176" i="23"/>
  <c r="Q176" i="23"/>
  <c r="O176" i="23"/>
  <c r="M176" i="23"/>
  <c r="K176" i="23"/>
  <c r="X175" i="23"/>
  <c r="W175" i="23"/>
  <c r="V175" i="23"/>
  <c r="U175" i="23"/>
  <c r="T175" i="23"/>
  <c r="S175" i="23"/>
  <c r="Q175" i="23"/>
  <c r="O175" i="23"/>
  <c r="M175" i="23"/>
  <c r="K175" i="23"/>
  <c r="X174" i="23"/>
  <c r="W174" i="23"/>
  <c r="V174" i="23"/>
  <c r="U174" i="23"/>
  <c r="T174" i="23"/>
  <c r="S174" i="23"/>
  <c r="Q174" i="23"/>
  <c r="O174" i="23"/>
  <c r="M174" i="23"/>
  <c r="K174" i="23"/>
  <c r="X173" i="23"/>
  <c r="W173" i="23"/>
  <c r="V173" i="23"/>
  <c r="U173" i="23"/>
  <c r="T173" i="23"/>
  <c r="S173" i="23"/>
  <c r="Q173" i="23"/>
  <c r="O173" i="23"/>
  <c r="M173" i="23"/>
  <c r="K173" i="23"/>
  <c r="X172" i="23"/>
  <c r="W172" i="23"/>
  <c r="V172" i="23"/>
  <c r="U172" i="23"/>
  <c r="T172" i="23"/>
  <c r="S172" i="23"/>
  <c r="Q172" i="23"/>
  <c r="O172" i="23"/>
  <c r="M172" i="23"/>
  <c r="K172" i="23"/>
  <c r="X171" i="23"/>
  <c r="W171" i="23"/>
  <c r="V171" i="23"/>
  <c r="U171" i="23"/>
  <c r="T171" i="23"/>
  <c r="S171" i="23"/>
  <c r="Q171" i="23"/>
  <c r="O171" i="23"/>
  <c r="M171" i="23"/>
  <c r="K171" i="23"/>
  <c r="X170" i="23"/>
  <c r="W170" i="23"/>
  <c r="V170" i="23"/>
  <c r="U170" i="23"/>
  <c r="T170" i="23"/>
  <c r="S170" i="23"/>
  <c r="Q170" i="23"/>
  <c r="O170" i="23"/>
  <c r="M170" i="23"/>
  <c r="K170" i="23"/>
  <c r="X169" i="23"/>
  <c r="W169" i="23"/>
  <c r="V169" i="23"/>
  <c r="U169" i="23"/>
  <c r="T169" i="23"/>
  <c r="S169" i="23"/>
  <c r="Q169" i="23"/>
  <c r="O169" i="23"/>
  <c r="M169" i="23"/>
  <c r="K169" i="23"/>
  <c r="X168" i="23"/>
  <c r="W168" i="23"/>
  <c r="V168" i="23"/>
  <c r="U168" i="23"/>
  <c r="T168" i="23"/>
  <c r="S168" i="23"/>
  <c r="Q168" i="23"/>
  <c r="O168" i="23"/>
  <c r="M168" i="23"/>
  <c r="K168" i="23"/>
  <c r="X167" i="23"/>
  <c r="W167" i="23"/>
  <c r="V167" i="23"/>
  <c r="U167" i="23"/>
  <c r="T167" i="23"/>
  <c r="S167" i="23"/>
  <c r="Q167" i="23"/>
  <c r="O167" i="23"/>
  <c r="M167" i="23"/>
  <c r="K167" i="23"/>
  <c r="X166" i="23"/>
  <c r="W166" i="23"/>
  <c r="V166" i="23"/>
  <c r="U166" i="23"/>
  <c r="T166" i="23"/>
  <c r="S166" i="23"/>
  <c r="Q166" i="23"/>
  <c r="O166" i="23"/>
  <c r="M166" i="23"/>
  <c r="K166" i="23"/>
  <c r="X165" i="23"/>
  <c r="W165" i="23"/>
  <c r="V165" i="23"/>
  <c r="U165" i="23"/>
  <c r="T165" i="23"/>
  <c r="S165" i="23"/>
  <c r="Q165" i="23"/>
  <c r="O165" i="23"/>
  <c r="M165" i="23"/>
  <c r="K165" i="23"/>
  <c r="X164" i="23"/>
  <c r="W164" i="23"/>
  <c r="V164" i="23"/>
  <c r="U164" i="23"/>
  <c r="T164" i="23"/>
  <c r="S164" i="23"/>
  <c r="Q164" i="23"/>
  <c r="O164" i="23"/>
  <c r="M164" i="23"/>
  <c r="K164" i="23"/>
  <c r="X163" i="23"/>
  <c r="W163" i="23"/>
  <c r="V163" i="23"/>
  <c r="U163" i="23"/>
  <c r="T163" i="23"/>
  <c r="S163" i="23"/>
  <c r="Q163" i="23"/>
  <c r="O163" i="23"/>
  <c r="M163" i="23"/>
  <c r="K163" i="23"/>
  <c r="X162" i="23"/>
  <c r="W162" i="23"/>
  <c r="V162" i="23"/>
  <c r="U162" i="23"/>
  <c r="T162" i="23"/>
  <c r="S162" i="23"/>
  <c r="Q162" i="23"/>
  <c r="O162" i="23"/>
  <c r="M162" i="23"/>
  <c r="K162" i="23"/>
  <c r="X161" i="23"/>
  <c r="W161" i="23"/>
  <c r="V161" i="23"/>
  <c r="U161" i="23"/>
  <c r="T161" i="23"/>
  <c r="S161" i="23"/>
  <c r="Q161" i="23"/>
  <c r="O161" i="23"/>
  <c r="M161" i="23"/>
  <c r="K161" i="23"/>
  <c r="X160" i="23"/>
  <c r="W160" i="23"/>
  <c r="V160" i="23"/>
  <c r="U160" i="23"/>
  <c r="T160" i="23"/>
  <c r="S160" i="23"/>
  <c r="Q160" i="23"/>
  <c r="O160" i="23"/>
  <c r="M160" i="23"/>
  <c r="K160" i="23"/>
  <c r="X159" i="23"/>
  <c r="W159" i="23"/>
  <c r="V159" i="23"/>
  <c r="U159" i="23"/>
  <c r="T159" i="23"/>
  <c r="S159" i="23"/>
  <c r="Q159" i="23"/>
  <c r="O159" i="23"/>
  <c r="M159" i="23"/>
  <c r="K159" i="23"/>
  <c r="X158" i="23"/>
  <c r="W158" i="23"/>
  <c r="V158" i="23"/>
  <c r="U158" i="23"/>
  <c r="T158" i="23"/>
  <c r="S158" i="23"/>
  <c r="Q158" i="23"/>
  <c r="O158" i="23"/>
  <c r="M158" i="23"/>
  <c r="K158" i="23"/>
  <c r="X157" i="23"/>
  <c r="W157" i="23"/>
  <c r="V157" i="23"/>
  <c r="U157" i="23"/>
  <c r="T157" i="23"/>
  <c r="S157" i="23"/>
  <c r="Q157" i="23"/>
  <c r="O157" i="23"/>
  <c r="M157" i="23"/>
  <c r="K157" i="23"/>
  <c r="X156" i="23"/>
  <c r="W156" i="23"/>
  <c r="V156" i="23"/>
  <c r="U156" i="23"/>
  <c r="T156" i="23"/>
  <c r="S156" i="23"/>
  <c r="Q156" i="23"/>
  <c r="O156" i="23"/>
  <c r="M156" i="23"/>
  <c r="K156" i="23"/>
  <c r="X155" i="23"/>
  <c r="W155" i="23"/>
  <c r="V155" i="23"/>
  <c r="U155" i="23"/>
  <c r="T155" i="23"/>
  <c r="S155" i="23"/>
  <c r="Q155" i="23"/>
  <c r="O155" i="23"/>
  <c r="M155" i="23"/>
  <c r="K155" i="23"/>
  <c r="X154" i="23"/>
  <c r="W154" i="23"/>
  <c r="V154" i="23"/>
  <c r="U154" i="23"/>
  <c r="T154" i="23"/>
  <c r="S154" i="23"/>
  <c r="Q154" i="23"/>
  <c r="O154" i="23"/>
  <c r="M154" i="23"/>
  <c r="K154" i="23"/>
  <c r="X153" i="23"/>
  <c r="W153" i="23"/>
  <c r="V153" i="23"/>
  <c r="U153" i="23"/>
  <c r="T153" i="23"/>
  <c r="S153" i="23"/>
  <c r="Q153" i="23"/>
  <c r="O153" i="23"/>
  <c r="M153" i="23"/>
  <c r="K153" i="23"/>
  <c r="X152" i="23"/>
  <c r="W152" i="23"/>
  <c r="V152" i="23"/>
  <c r="U152" i="23"/>
  <c r="T152" i="23"/>
  <c r="S152" i="23"/>
  <c r="Q152" i="23"/>
  <c r="O152" i="23"/>
  <c r="M152" i="23"/>
  <c r="K152" i="23"/>
  <c r="X151" i="23"/>
  <c r="W151" i="23"/>
  <c r="V151" i="23"/>
  <c r="U151" i="23"/>
  <c r="T151" i="23"/>
  <c r="S151" i="23"/>
  <c r="Q151" i="23"/>
  <c r="O151" i="23"/>
  <c r="M151" i="23"/>
  <c r="K151" i="23"/>
  <c r="X150" i="23"/>
  <c r="W150" i="23"/>
  <c r="V150" i="23"/>
  <c r="U150" i="23"/>
  <c r="T150" i="23"/>
  <c r="S150" i="23"/>
  <c r="Q150" i="23"/>
  <c r="O150" i="23"/>
  <c r="M150" i="23"/>
  <c r="K150" i="23"/>
  <c r="X149" i="23"/>
  <c r="W149" i="23"/>
  <c r="V149" i="23"/>
  <c r="U149" i="23"/>
  <c r="T149" i="23"/>
  <c r="S149" i="23"/>
  <c r="Q149" i="23"/>
  <c r="O149" i="23"/>
  <c r="M149" i="23"/>
  <c r="K149" i="23"/>
  <c r="X148" i="23"/>
  <c r="W148" i="23"/>
  <c r="V148" i="23"/>
  <c r="U148" i="23"/>
  <c r="T148" i="23"/>
  <c r="S148" i="23"/>
  <c r="Q148" i="23"/>
  <c r="O148" i="23"/>
  <c r="M148" i="23"/>
  <c r="K148" i="23"/>
  <c r="X147" i="23"/>
  <c r="W147" i="23"/>
  <c r="V147" i="23"/>
  <c r="U147" i="23"/>
  <c r="T147" i="23"/>
  <c r="S147" i="23"/>
  <c r="Q147" i="23"/>
  <c r="O147" i="23"/>
  <c r="M147" i="23"/>
  <c r="K147" i="23"/>
  <c r="X146" i="23"/>
  <c r="W146" i="23"/>
  <c r="V146" i="23"/>
  <c r="U146" i="23"/>
  <c r="T146" i="23"/>
  <c r="S146" i="23"/>
  <c r="Q146" i="23"/>
  <c r="O146" i="23"/>
  <c r="M146" i="23"/>
  <c r="K146" i="23"/>
  <c r="X145" i="23"/>
  <c r="W145" i="23"/>
  <c r="V145" i="23"/>
  <c r="U145" i="23"/>
  <c r="T145" i="23"/>
  <c r="S145" i="23"/>
  <c r="Q145" i="23"/>
  <c r="O145" i="23"/>
  <c r="M145" i="23"/>
  <c r="K145" i="23"/>
  <c r="X144" i="23"/>
  <c r="W144" i="23"/>
  <c r="V144" i="23"/>
  <c r="U144" i="23"/>
  <c r="T144" i="23"/>
  <c r="S144" i="23"/>
  <c r="Q144" i="23"/>
  <c r="O144" i="23"/>
  <c r="M144" i="23"/>
  <c r="K144" i="23"/>
  <c r="X143" i="23"/>
  <c r="W143" i="23"/>
  <c r="V143" i="23"/>
  <c r="U143" i="23"/>
  <c r="T143" i="23"/>
  <c r="S143" i="23"/>
  <c r="Q143" i="23"/>
  <c r="O143" i="23"/>
  <c r="M143" i="23"/>
  <c r="K143" i="23"/>
  <c r="X142" i="23"/>
  <c r="W142" i="23"/>
  <c r="V142" i="23"/>
  <c r="U142" i="23"/>
  <c r="T142" i="23"/>
  <c r="S142" i="23"/>
  <c r="Q142" i="23"/>
  <c r="O142" i="23"/>
  <c r="M142" i="23"/>
  <c r="K142" i="23"/>
  <c r="X141" i="23"/>
  <c r="W141" i="23"/>
  <c r="V141" i="23"/>
  <c r="U141" i="23"/>
  <c r="T141" i="23"/>
  <c r="S141" i="23"/>
  <c r="Q141" i="23"/>
  <c r="O141" i="23"/>
  <c r="M141" i="23"/>
  <c r="K141" i="23"/>
  <c r="X140" i="23"/>
  <c r="W140" i="23"/>
  <c r="V140" i="23"/>
  <c r="U140" i="23"/>
  <c r="T140" i="23"/>
  <c r="S140" i="23"/>
  <c r="Q140" i="23"/>
  <c r="O140" i="23"/>
  <c r="M140" i="23"/>
  <c r="K140" i="23"/>
  <c r="X139" i="23"/>
  <c r="W139" i="23"/>
  <c r="V139" i="23"/>
  <c r="U139" i="23"/>
  <c r="T139" i="23"/>
  <c r="S139" i="23"/>
  <c r="Q139" i="23"/>
  <c r="O139" i="23"/>
  <c r="M139" i="23"/>
  <c r="K139" i="23"/>
  <c r="X138" i="23"/>
  <c r="W138" i="23"/>
  <c r="V138" i="23"/>
  <c r="U138" i="23"/>
  <c r="T138" i="23"/>
  <c r="S138" i="23"/>
  <c r="Q138" i="23"/>
  <c r="O138" i="23"/>
  <c r="M138" i="23"/>
  <c r="K138" i="23"/>
  <c r="X137" i="23"/>
  <c r="W137" i="23"/>
  <c r="V137" i="23"/>
  <c r="U137" i="23"/>
  <c r="T137" i="23"/>
  <c r="S137" i="23"/>
  <c r="Q137" i="23"/>
  <c r="O137" i="23"/>
  <c r="M137" i="23"/>
  <c r="K137" i="23"/>
  <c r="X136" i="23"/>
  <c r="W136" i="23"/>
  <c r="V136" i="23"/>
  <c r="U136" i="23"/>
  <c r="T136" i="23"/>
  <c r="S136" i="23"/>
  <c r="Q136" i="23"/>
  <c r="O136" i="23"/>
  <c r="M136" i="23"/>
  <c r="K136" i="23"/>
  <c r="X135" i="23"/>
  <c r="W135" i="23"/>
  <c r="V135" i="23"/>
  <c r="U135" i="23"/>
  <c r="T135" i="23"/>
  <c r="S135" i="23"/>
  <c r="Q135" i="23"/>
  <c r="O135" i="23"/>
  <c r="M135" i="23"/>
  <c r="K135" i="23"/>
  <c r="X134" i="23"/>
  <c r="W134" i="23"/>
  <c r="V134" i="23"/>
  <c r="U134" i="23"/>
  <c r="T134" i="23"/>
  <c r="S134" i="23"/>
  <c r="Q134" i="23"/>
  <c r="O134" i="23"/>
  <c r="M134" i="23"/>
  <c r="K134" i="23"/>
  <c r="X133" i="23"/>
  <c r="W133" i="23"/>
  <c r="V133" i="23"/>
  <c r="U133" i="23"/>
  <c r="T133" i="23"/>
  <c r="S133" i="23"/>
  <c r="Q133" i="23"/>
  <c r="O133" i="23"/>
  <c r="M133" i="23"/>
  <c r="K133" i="23"/>
  <c r="X132" i="23"/>
  <c r="W132" i="23"/>
  <c r="V132" i="23"/>
  <c r="U132" i="23"/>
  <c r="T132" i="23"/>
  <c r="S132" i="23"/>
  <c r="Q132" i="23"/>
  <c r="O132" i="23"/>
  <c r="M132" i="23"/>
  <c r="K132" i="23"/>
  <c r="X131" i="23"/>
  <c r="W131" i="23"/>
  <c r="V131" i="23"/>
  <c r="U131" i="23"/>
  <c r="T131" i="23"/>
  <c r="S131" i="23"/>
  <c r="Q131" i="23"/>
  <c r="O131" i="23"/>
  <c r="M131" i="23"/>
  <c r="K131" i="23"/>
  <c r="X130" i="23"/>
  <c r="W130" i="23"/>
  <c r="V130" i="23"/>
  <c r="U130" i="23"/>
  <c r="T130" i="23"/>
  <c r="S130" i="23"/>
  <c r="Q130" i="23"/>
  <c r="O130" i="23"/>
  <c r="M130" i="23"/>
  <c r="K130" i="23"/>
  <c r="X129" i="23"/>
  <c r="W129" i="23"/>
  <c r="V129" i="23"/>
  <c r="U129" i="23"/>
  <c r="T129" i="23"/>
  <c r="S129" i="23"/>
  <c r="Q129" i="23"/>
  <c r="O129" i="23"/>
  <c r="M129" i="23"/>
  <c r="K129" i="23"/>
  <c r="X128" i="23"/>
  <c r="W128" i="23"/>
  <c r="V128" i="23"/>
  <c r="U128" i="23"/>
  <c r="T128" i="23"/>
  <c r="S128" i="23"/>
  <c r="Q128" i="23"/>
  <c r="O128" i="23"/>
  <c r="M128" i="23"/>
  <c r="K128" i="23"/>
  <c r="X127" i="23"/>
  <c r="W127" i="23"/>
  <c r="V127" i="23"/>
  <c r="U127" i="23"/>
  <c r="T127" i="23"/>
  <c r="S127" i="23"/>
  <c r="Q127" i="23"/>
  <c r="O127" i="23"/>
  <c r="M127" i="23"/>
  <c r="K127" i="23"/>
  <c r="X126" i="23"/>
  <c r="W126" i="23"/>
  <c r="V126" i="23"/>
  <c r="U126" i="23"/>
  <c r="T126" i="23"/>
  <c r="S126" i="23"/>
  <c r="Q126" i="23"/>
  <c r="O126" i="23"/>
  <c r="M126" i="23"/>
  <c r="K126" i="23"/>
  <c r="X125" i="23"/>
  <c r="W125" i="23"/>
  <c r="V125" i="23"/>
  <c r="U125" i="23"/>
  <c r="T125" i="23"/>
  <c r="S125" i="23"/>
  <c r="Q125" i="23"/>
  <c r="O125" i="23"/>
  <c r="M125" i="23"/>
  <c r="K125" i="23"/>
  <c r="X124" i="23"/>
  <c r="W124" i="23"/>
  <c r="V124" i="23"/>
  <c r="U124" i="23"/>
  <c r="T124" i="23"/>
  <c r="S124" i="23"/>
  <c r="Q124" i="23"/>
  <c r="O124" i="23"/>
  <c r="M124" i="23"/>
  <c r="K124" i="23"/>
  <c r="X123" i="23"/>
  <c r="W123" i="23"/>
  <c r="V123" i="23"/>
  <c r="U123" i="23"/>
  <c r="T123" i="23"/>
  <c r="S123" i="23"/>
  <c r="Q123" i="23"/>
  <c r="O123" i="23"/>
  <c r="M123" i="23"/>
  <c r="K123" i="23"/>
  <c r="X122" i="23"/>
  <c r="W122" i="23"/>
  <c r="V122" i="23"/>
  <c r="U122" i="23"/>
  <c r="T122" i="23"/>
  <c r="S122" i="23"/>
  <c r="Q122" i="23"/>
  <c r="O122" i="23"/>
  <c r="M122" i="23"/>
  <c r="K122" i="23"/>
  <c r="X121" i="23"/>
  <c r="W121" i="23"/>
  <c r="V121" i="23"/>
  <c r="U121" i="23"/>
  <c r="T121" i="23"/>
  <c r="S121" i="23"/>
  <c r="Q121" i="23"/>
  <c r="O121" i="23"/>
  <c r="M121" i="23"/>
  <c r="K121" i="23"/>
  <c r="X120" i="23"/>
  <c r="W120" i="23"/>
  <c r="V120" i="23"/>
  <c r="U120" i="23"/>
  <c r="T120" i="23"/>
  <c r="S120" i="23"/>
  <c r="Q120" i="23"/>
  <c r="O120" i="23"/>
  <c r="M120" i="23"/>
  <c r="K120" i="23"/>
  <c r="X119" i="23"/>
  <c r="W119" i="23"/>
  <c r="V119" i="23"/>
  <c r="U119" i="23"/>
  <c r="T119" i="23"/>
  <c r="S119" i="23"/>
  <c r="Q119" i="23"/>
  <c r="O119" i="23"/>
  <c r="M119" i="23"/>
  <c r="K119" i="23"/>
  <c r="X118" i="23"/>
  <c r="W118" i="23"/>
  <c r="V118" i="23"/>
  <c r="U118" i="23"/>
  <c r="T118" i="23"/>
  <c r="S118" i="23"/>
  <c r="Q118" i="23"/>
  <c r="O118" i="23"/>
  <c r="M118" i="23"/>
  <c r="K118" i="23"/>
  <c r="X117" i="23"/>
  <c r="W117" i="23"/>
  <c r="V117" i="23"/>
  <c r="U117" i="23"/>
  <c r="T117" i="23"/>
  <c r="S117" i="23"/>
  <c r="Q117" i="23"/>
  <c r="O117" i="23"/>
  <c r="M117" i="23"/>
  <c r="K117" i="23"/>
  <c r="X116" i="23"/>
  <c r="W116" i="23"/>
  <c r="V116" i="23"/>
  <c r="U116" i="23"/>
  <c r="T116" i="23"/>
  <c r="S116" i="23"/>
  <c r="Q116" i="23"/>
  <c r="O116" i="23"/>
  <c r="M116" i="23"/>
  <c r="K116" i="23"/>
  <c r="X115" i="23"/>
  <c r="W115" i="23"/>
  <c r="V115" i="23"/>
  <c r="U115" i="23"/>
  <c r="T115" i="23"/>
  <c r="S115" i="23"/>
  <c r="Q115" i="23"/>
  <c r="O115" i="23"/>
  <c r="M115" i="23"/>
  <c r="K115" i="23"/>
  <c r="X114" i="23"/>
  <c r="W114" i="23"/>
  <c r="V114" i="23"/>
  <c r="U114" i="23"/>
  <c r="T114" i="23"/>
  <c r="S114" i="23"/>
  <c r="Q114" i="23"/>
  <c r="O114" i="23"/>
  <c r="M114" i="23"/>
  <c r="K114" i="23"/>
  <c r="X113" i="23"/>
  <c r="W113" i="23"/>
  <c r="V113" i="23"/>
  <c r="U113" i="23"/>
  <c r="T113" i="23"/>
  <c r="S113" i="23"/>
  <c r="Q113" i="23"/>
  <c r="O113" i="23"/>
  <c r="M113" i="23"/>
  <c r="K113" i="23"/>
  <c r="X112" i="23"/>
  <c r="W112" i="23"/>
  <c r="V112" i="23"/>
  <c r="U112" i="23"/>
  <c r="T112" i="23"/>
  <c r="S112" i="23"/>
  <c r="Q112" i="23"/>
  <c r="O112" i="23"/>
  <c r="M112" i="23"/>
  <c r="K112" i="23"/>
  <c r="X111" i="23"/>
  <c r="W111" i="23"/>
  <c r="V111" i="23"/>
  <c r="U111" i="23"/>
  <c r="T111" i="23"/>
  <c r="S111" i="23"/>
  <c r="Q111" i="23"/>
  <c r="O111" i="23"/>
  <c r="M111" i="23"/>
  <c r="K111" i="23"/>
  <c r="X110" i="23"/>
  <c r="W110" i="23"/>
  <c r="V110" i="23"/>
  <c r="U110" i="23"/>
  <c r="T110" i="23"/>
  <c r="S110" i="23"/>
  <c r="Q110" i="23"/>
  <c r="O110" i="23"/>
  <c r="M110" i="23"/>
  <c r="K110" i="23"/>
  <c r="X109" i="23"/>
  <c r="W109" i="23"/>
  <c r="V109" i="23"/>
  <c r="U109" i="23"/>
  <c r="T109" i="23"/>
  <c r="S109" i="23"/>
  <c r="Q109" i="23"/>
  <c r="O109" i="23"/>
  <c r="M109" i="23"/>
  <c r="K109" i="23"/>
  <c r="X108" i="23"/>
  <c r="W108" i="23"/>
  <c r="V108" i="23"/>
  <c r="U108" i="23"/>
  <c r="T108" i="23"/>
  <c r="S108" i="23"/>
  <c r="Q108" i="23"/>
  <c r="O108" i="23"/>
  <c r="M108" i="23"/>
  <c r="K108" i="23"/>
  <c r="X107" i="23"/>
  <c r="W107" i="23"/>
  <c r="V107" i="23"/>
  <c r="U107" i="23"/>
  <c r="T107" i="23"/>
  <c r="S107" i="23"/>
  <c r="Q107" i="23"/>
  <c r="O107" i="23"/>
  <c r="M107" i="23"/>
  <c r="K107" i="23"/>
  <c r="X106" i="23"/>
  <c r="W106" i="23"/>
  <c r="V106" i="23"/>
  <c r="U106" i="23"/>
  <c r="T106" i="23"/>
  <c r="S106" i="23"/>
  <c r="Q106" i="23"/>
  <c r="O106" i="23"/>
  <c r="M106" i="23"/>
  <c r="K106" i="23"/>
  <c r="X105" i="23"/>
  <c r="W105" i="23"/>
  <c r="V105" i="23"/>
  <c r="U105" i="23"/>
  <c r="T105" i="23"/>
  <c r="S105" i="23"/>
  <c r="Q105" i="23"/>
  <c r="O105" i="23"/>
  <c r="M105" i="23"/>
  <c r="K105" i="23"/>
  <c r="X104" i="23"/>
  <c r="W104" i="23"/>
  <c r="V104" i="23"/>
  <c r="U104" i="23"/>
  <c r="T104" i="23"/>
  <c r="S104" i="23"/>
  <c r="Q104" i="23"/>
  <c r="O104" i="23"/>
  <c r="M104" i="23"/>
  <c r="K104" i="23"/>
  <c r="X103" i="23"/>
  <c r="W103" i="23"/>
  <c r="V103" i="23"/>
  <c r="U103" i="23"/>
  <c r="T103" i="23"/>
  <c r="S103" i="23"/>
  <c r="Q103" i="23"/>
  <c r="O103" i="23"/>
  <c r="M103" i="23"/>
  <c r="K103" i="23"/>
  <c r="X102" i="23"/>
  <c r="W102" i="23"/>
  <c r="V102" i="23"/>
  <c r="U102" i="23"/>
  <c r="T102" i="23"/>
  <c r="S102" i="23"/>
  <c r="Q102" i="23"/>
  <c r="O102" i="23"/>
  <c r="M102" i="23"/>
  <c r="K102" i="23"/>
  <c r="X101" i="23"/>
  <c r="W101" i="23"/>
  <c r="V101" i="23"/>
  <c r="U101" i="23"/>
  <c r="T101" i="23"/>
  <c r="S101" i="23"/>
  <c r="Q101" i="23"/>
  <c r="O101" i="23"/>
  <c r="M101" i="23"/>
  <c r="K101" i="23"/>
  <c r="X100" i="23"/>
  <c r="W100" i="23"/>
  <c r="V100" i="23"/>
  <c r="U100" i="23"/>
  <c r="T100" i="23"/>
  <c r="S100" i="23"/>
  <c r="Q100" i="23"/>
  <c r="O100" i="23"/>
  <c r="M100" i="23"/>
  <c r="K100" i="23"/>
  <c r="X99" i="23"/>
  <c r="W99" i="23"/>
  <c r="V99" i="23"/>
  <c r="U99" i="23"/>
  <c r="T99" i="23"/>
  <c r="S99" i="23"/>
  <c r="Q99" i="23"/>
  <c r="O99" i="23"/>
  <c r="M99" i="23"/>
  <c r="K99" i="23"/>
  <c r="X98" i="23"/>
  <c r="W98" i="23"/>
  <c r="V98" i="23"/>
  <c r="U98" i="23"/>
  <c r="T98" i="23"/>
  <c r="S98" i="23"/>
  <c r="Q98" i="23"/>
  <c r="O98" i="23"/>
  <c r="M98" i="23"/>
  <c r="K98" i="23"/>
  <c r="X97" i="23"/>
  <c r="W97" i="23"/>
  <c r="V97" i="23"/>
  <c r="U97" i="23"/>
  <c r="T97" i="23"/>
  <c r="S97" i="23"/>
  <c r="Q97" i="23"/>
  <c r="O97" i="23"/>
  <c r="M97" i="23"/>
  <c r="K97" i="23"/>
  <c r="X96" i="23"/>
  <c r="W96" i="23"/>
  <c r="V96" i="23"/>
  <c r="U96" i="23"/>
  <c r="T96" i="23"/>
  <c r="S96" i="23"/>
  <c r="Q96" i="23"/>
  <c r="O96" i="23"/>
  <c r="M96" i="23"/>
  <c r="K96" i="23"/>
  <c r="X95" i="23"/>
  <c r="W95" i="23"/>
  <c r="V95" i="23"/>
  <c r="U95" i="23"/>
  <c r="T95" i="23"/>
  <c r="S95" i="23"/>
  <c r="Q95" i="23"/>
  <c r="O95" i="23"/>
  <c r="M95" i="23"/>
  <c r="K95" i="23"/>
  <c r="X94" i="23"/>
  <c r="W94" i="23"/>
  <c r="V94" i="23"/>
  <c r="U94" i="23"/>
  <c r="T94" i="23"/>
  <c r="S94" i="23"/>
  <c r="Q94" i="23"/>
  <c r="O94" i="23"/>
  <c r="M94" i="23"/>
  <c r="K94" i="23"/>
  <c r="X93" i="23"/>
  <c r="W93" i="23"/>
  <c r="V93" i="23"/>
  <c r="U93" i="23"/>
  <c r="T93" i="23"/>
  <c r="S93" i="23"/>
  <c r="Q93" i="23"/>
  <c r="O93" i="23"/>
  <c r="M93" i="23"/>
  <c r="K93" i="23"/>
  <c r="X92" i="23"/>
  <c r="W92" i="23"/>
  <c r="V92" i="23"/>
  <c r="U92" i="23"/>
  <c r="T92" i="23"/>
  <c r="S92" i="23"/>
  <c r="Q92" i="23"/>
  <c r="O92" i="23"/>
  <c r="M92" i="23"/>
  <c r="K92" i="23"/>
  <c r="X91" i="23"/>
  <c r="W91" i="23"/>
  <c r="V91" i="23"/>
  <c r="U91" i="23"/>
  <c r="T91" i="23"/>
  <c r="S91" i="23"/>
  <c r="Q91" i="23"/>
  <c r="O91" i="23"/>
  <c r="M91" i="23"/>
  <c r="K91" i="23"/>
  <c r="X90" i="23"/>
  <c r="W90" i="23"/>
  <c r="V90" i="23"/>
  <c r="U90" i="23"/>
  <c r="T90" i="23"/>
  <c r="S90" i="23"/>
  <c r="Q90" i="23"/>
  <c r="O90" i="23"/>
  <c r="M90" i="23"/>
  <c r="K90" i="23"/>
  <c r="X89" i="23"/>
  <c r="W89" i="23"/>
  <c r="V89" i="23"/>
  <c r="U89" i="23"/>
  <c r="T89" i="23"/>
  <c r="S89" i="23"/>
  <c r="Q89" i="23"/>
  <c r="O89" i="23"/>
  <c r="M89" i="23"/>
  <c r="K89" i="23"/>
  <c r="X88" i="23"/>
  <c r="W88" i="23"/>
  <c r="V88" i="23"/>
  <c r="U88" i="23"/>
  <c r="T88" i="23"/>
  <c r="S88" i="23"/>
  <c r="Q88" i="23"/>
  <c r="O88" i="23"/>
  <c r="M88" i="23"/>
  <c r="K88" i="23"/>
  <c r="X87" i="23"/>
  <c r="W87" i="23"/>
  <c r="V87" i="23"/>
  <c r="U87" i="23"/>
  <c r="T87" i="23"/>
  <c r="S87" i="23"/>
  <c r="Q87" i="23"/>
  <c r="O87" i="23"/>
  <c r="M87" i="23"/>
  <c r="K87" i="23"/>
  <c r="X86" i="23"/>
  <c r="W86" i="23"/>
  <c r="V86" i="23"/>
  <c r="U86" i="23"/>
  <c r="T86" i="23"/>
  <c r="S86" i="23"/>
  <c r="Q86" i="23"/>
  <c r="O86" i="23"/>
  <c r="M86" i="23"/>
  <c r="K86" i="23"/>
  <c r="X85" i="23"/>
  <c r="W85" i="23"/>
  <c r="V85" i="23"/>
  <c r="U85" i="23"/>
  <c r="T85" i="23"/>
  <c r="S85" i="23"/>
  <c r="Q85" i="23"/>
  <c r="O85" i="23"/>
  <c r="M85" i="23"/>
  <c r="K85" i="23"/>
  <c r="X84" i="23"/>
  <c r="W84" i="23"/>
  <c r="V84" i="23"/>
  <c r="U84" i="23"/>
  <c r="T84" i="23"/>
  <c r="S84" i="23"/>
  <c r="Q84" i="23"/>
  <c r="O84" i="23"/>
  <c r="M84" i="23"/>
  <c r="K84" i="23"/>
  <c r="X83" i="23"/>
  <c r="W83" i="23"/>
  <c r="V83" i="23"/>
  <c r="U83" i="23"/>
  <c r="T83" i="23"/>
  <c r="S83" i="23"/>
  <c r="Q83" i="23"/>
  <c r="O83" i="23"/>
  <c r="M83" i="23"/>
  <c r="K83" i="23"/>
  <c r="X82" i="23"/>
  <c r="W82" i="23"/>
  <c r="V82" i="23"/>
  <c r="U82" i="23"/>
  <c r="T82" i="23"/>
  <c r="S82" i="23"/>
  <c r="Q82" i="23"/>
  <c r="O82" i="23"/>
  <c r="M82" i="23"/>
  <c r="K82" i="23"/>
  <c r="X81" i="23"/>
  <c r="W81" i="23"/>
  <c r="V81" i="23"/>
  <c r="U81" i="23"/>
  <c r="T81" i="23"/>
  <c r="S81" i="23"/>
  <c r="Q81" i="23"/>
  <c r="O81" i="23"/>
  <c r="M81" i="23"/>
  <c r="K81" i="23"/>
  <c r="X80" i="23"/>
  <c r="W80" i="23"/>
  <c r="V80" i="23"/>
  <c r="U80" i="23"/>
  <c r="T80" i="23"/>
  <c r="S80" i="23"/>
  <c r="Q80" i="23"/>
  <c r="O80" i="23"/>
  <c r="M80" i="23"/>
  <c r="K80" i="23"/>
  <c r="X79" i="23"/>
  <c r="W79" i="23"/>
  <c r="V79" i="23"/>
  <c r="U79" i="23"/>
  <c r="T79" i="23"/>
  <c r="S79" i="23"/>
  <c r="Q79" i="23"/>
  <c r="O79" i="23"/>
  <c r="M79" i="23"/>
  <c r="K79" i="23"/>
  <c r="X78" i="23"/>
  <c r="W78" i="23"/>
  <c r="V78" i="23"/>
  <c r="U78" i="23"/>
  <c r="T78" i="23"/>
  <c r="S78" i="23"/>
  <c r="Q78" i="23"/>
  <c r="O78" i="23"/>
  <c r="M78" i="23"/>
  <c r="K78" i="23"/>
  <c r="X77" i="23"/>
  <c r="W77" i="23"/>
  <c r="V77" i="23"/>
  <c r="U77" i="23"/>
  <c r="T77" i="23"/>
  <c r="S77" i="23"/>
  <c r="Q77" i="23"/>
  <c r="O77" i="23"/>
  <c r="M77" i="23"/>
  <c r="K77" i="23"/>
  <c r="X76" i="23"/>
  <c r="W76" i="23"/>
  <c r="V76" i="23"/>
  <c r="U76" i="23"/>
  <c r="T76" i="23"/>
  <c r="S76" i="23"/>
  <c r="Q76" i="23"/>
  <c r="O76" i="23"/>
  <c r="M76" i="23"/>
  <c r="K76" i="23"/>
  <c r="X75" i="23"/>
  <c r="W75" i="23"/>
  <c r="V75" i="23"/>
  <c r="U75" i="23"/>
  <c r="T75" i="23"/>
  <c r="S75" i="23"/>
  <c r="Q75" i="23"/>
  <c r="O75" i="23"/>
  <c r="M75" i="23"/>
  <c r="K75" i="23"/>
  <c r="X74" i="23"/>
  <c r="W74" i="23"/>
  <c r="V74" i="23"/>
  <c r="U74" i="23"/>
  <c r="T74" i="23"/>
  <c r="S74" i="23"/>
  <c r="Q74" i="23"/>
  <c r="O74" i="23"/>
  <c r="M74" i="23"/>
  <c r="K74" i="23"/>
  <c r="X73" i="23"/>
  <c r="W73" i="23"/>
  <c r="V73" i="23"/>
  <c r="U73" i="23"/>
  <c r="T73" i="23"/>
  <c r="S73" i="23"/>
  <c r="Q73" i="23"/>
  <c r="O73" i="23"/>
  <c r="M73" i="23"/>
  <c r="K73" i="23"/>
  <c r="X72" i="23"/>
  <c r="W72" i="23"/>
  <c r="V72" i="23"/>
  <c r="U72" i="23"/>
  <c r="T72" i="23"/>
  <c r="S72" i="23"/>
  <c r="Q72" i="23"/>
  <c r="O72" i="23"/>
  <c r="M72" i="23"/>
  <c r="K72" i="23"/>
  <c r="X71" i="23"/>
  <c r="W71" i="23"/>
  <c r="V71" i="23"/>
  <c r="U71" i="23"/>
  <c r="T71" i="23"/>
  <c r="S71" i="23"/>
  <c r="Q71" i="23"/>
  <c r="O71" i="23"/>
  <c r="M71" i="23"/>
  <c r="K71" i="23"/>
  <c r="X70" i="23"/>
  <c r="W70" i="23"/>
  <c r="V70" i="23"/>
  <c r="U70" i="23"/>
  <c r="T70" i="23"/>
  <c r="S70" i="23"/>
  <c r="Q70" i="23"/>
  <c r="O70" i="23"/>
  <c r="M70" i="23"/>
  <c r="K70" i="23"/>
  <c r="X69" i="23"/>
  <c r="W69" i="23"/>
  <c r="V69" i="23"/>
  <c r="U69" i="23"/>
  <c r="T69" i="23"/>
  <c r="S69" i="23"/>
  <c r="Q69" i="23"/>
  <c r="O69" i="23"/>
  <c r="M69" i="23"/>
  <c r="K69" i="23"/>
  <c r="X68" i="23"/>
  <c r="W68" i="23"/>
  <c r="V68" i="23"/>
  <c r="U68" i="23"/>
  <c r="T68" i="23"/>
  <c r="S68" i="23"/>
  <c r="Q68" i="23"/>
  <c r="O68" i="23"/>
  <c r="M68" i="23"/>
  <c r="K68" i="23"/>
  <c r="X67" i="23"/>
  <c r="W67" i="23"/>
  <c r="V67" i="23"/>
  <c r="U67" i="23"/>
  <c r="T67" i="23"/>
  <c r="S67" i="23"/>
  <c r="Q67" i="23"/>
  <c r="O67" i="23"/>
  <c r="M67" i="23"/>
  <c r="K67" i="23"/>
  <c r="X66" i="23"/>
  <c r="W66" i="23"/>
  <c r="V66" i="23"/>
  <c r="U66" i="23"/>
  <c r="T66" i="23"/>
  <c r="S66" i="23"/>
  <c r="Q66" i="23"/>
  <c r="O66" i="23"/>
  <c r="M66" i="23"/>
  <c r="K66" i="23"/>
  <c r="X65" i="23"/>
  <c r="W65" i="23"/>
  <c r="V65" i="23"/>
  <c r="U65" i="23"/>
  <c r="T65" i="23"/>
  <c r="S65" i="23"/>
  <c r="Q65" i="23"/>
  <c r="O65" i="23"/>
  <c r="M65" i="23"/>
  <c r="K65" i="23"/>
  <c r="X64" i="23"/>
  <c r="W64" i="23"/>
  <c r="V64" i="23"/>
  <c r="U64" i="23"/>
  <c r="T64" i="23"/>
  <c r="S64" i="23"/>
  <c r="Q64" i="23"/>
  <c r="O64" i="23"/>
  <c r="M64" i="23"/>
  <c r="K64" i="23"/>
  <c r="X63" i="23"/>
  <c r="W63" i="23"/>
  <c r="V63" i="23"/>
  <c r="U63" i="23"/>
  <c r="T63" i="23"/>
  <c r="S63" i="23"/>
  <c r="Q63" i="23"/>
  <c r="O63" i="23"/>
  <c r="M63" i="23"/>
  <c r="K63" i="23"/>
  <c r="X62" i="23"/>
  <c r="W62" i="23"/>
  <c r="V62" i="23"/>
  <c r="U62" i="23"/>
  <c r="T62" i="23"/>
  <c r="S62" i="23"/>
  <c r="Q62" i="23"/>
  <c r="O62" i="23"/>
  <c r="M62" i="23"/>
  <c r="K62" i="23"/>
  <c r="X61" i="23"/>
  <c r="W61" i="23"/>
  <c r="V61" i="23"/>
  <c r="U61" i="23"/>
  <c r="T61" i="23"/>
  <c r="S61" i="23"/>
  <c r="Q61" i="23"/>
  <c r="O61" i="23"/>
  <c r="M61" i="23"/>
  <c r="K61" i="23"/>
  <c r="X60" i="23"/>
  <c r="W60" i="23"/>
  <c r="V60" i="23"/>
  <c r="U60" i="23"/>
  <c r="T60" i="23"/>
  <c r="S60" i="23"/>
  <c r="Q60" i="23"/>
  <c r="O60" i="23"/>
  <c r="M60" i="23"/>
  <c r="K60" i="23"/>
  <c r="X59" i="23"/>
  <c r="W59" i="23"/>
  <c r="V59" i="23"/>
  <c r="U59" i="23"/>
  <c r="T59" i="23"/>
  <c r="S59" i="23"/>
  <c r="Q59" i="23"/>
  <c r="O59" i="23"/>
  <c r="M59" i="23"/>
  <c r="K59" i="23"/>
  <c r="X58" i="23"/>
  <c r="W58" i="23"/>
  <c r="V58" i="23"/>
  <c r="U58" i="23"/>
  <c r="T58" i="23"/>
  <c r="S58" i="23"/>
  <c r="Q58" i="23"/>
  <c r="O58" i="23"/>
  <c r="M58" i="23"/>
  <c r="K58" i="23"/>
  <c r="X57" i="23"/>
  <c r="W57" i="23"/>
  <c r="V57" i="23"/>
  <c r="U57" i="23"/>
  <c r="T57" i="23"/>
  <c r="S57" i="23"/>
  <c r="Q57" i="23"/>
  <c r="O57" i="23"/>
  <c r="M57" i="23"/>
  <c r="K57" i="23"/>
  <c r="X56" i="23"/>
  <c r="W56" i="23"/>
  <c r="V56" i="23"/>
  <c r="U56" i="23"/>
  <c r="T56" i="23"/>
  <c r="S56" i="23"/>
  <c r="Q56" i="23"/>
  <c r="O56" i="23"/>
  <c r="M56" i="23"/>
  <c r="K56" i="23"/>
  <c r="X55" i="23"/>
  <c r="W55" i="23"/>
  <c r="V55" i="23"/>
  <c r="U55" i="23"/>
  <c r="T55" i="23"/>
  <c r="S55" i="23"/>
  <c r="Q55" i="23"/>
  <c r="O55" i="23"/>
  <c r="M55" i="23"/>
  <c r="K55" i="23"/>
  <c r="X54" i="23"/>
  <c r="W54" i="23"/>
  <c r="V54" i="23"/>
  <c r="U54" i="23"/>
  <c r="T54" i="23"/>
  <c r="S54" i="23"/>
  <c r="Q54" i="23"/>
  <c r="O54" i="23"/>
  <c r="M54" i="23"/>
  <c r="K54" i="23"/>
  <c r="X53" i="23"/>
  <c r="W53" i="23"/>
  <c r="V53" i="23"/>
  <c r="U53" i="23"/>
  <c r="T53" i="23"/>
  <c r="S53" i="23"/>
  <c r="Q53" i="23"/>
  <c r="O53" i="23"/>
  <c r="M53" i="23"/>
  <c r="K53" i="23"/>
  <c r="X52" i="23"/>
  <c r="W52" i="23"/>
  <c r="V52" i="23"/>
  <c r="U52" i="23"/>
  <c r="T52" i="23"/>
  <c r="S52" i="23"/>
  <c r="Q52" i="23"/>
  <c r="O52" i="23"/>
  <c r="M52" i="23"/>
  <c r="K52" i="23"/>
  <c r="X51" i="23"/>
  <c r="W51" i="23"/>
  <c r="V51" i="23"/>
  <c r="U51" i="23"/>
  <c r="T51" i="23"/>
  <c r="S51" i="23"/>
  <c r="Q51" i="23"/>
  <c r="O51" i="23"/>
  <c r="M51" i="23"/>
  <c r="K51" i="23"/>
  <c r="X50" i="23"/>
  <c r="W50" i="23"/>
  <c r="V50" i="23"/>
  <c r="U50" i="23"/>
  <c r="T50" i="23"/>
  <c r="S50" i="23"/>
  <c r="Q50" i="23"/>
  <c r="O50" i="23"/>
  <c r="M50" i="23"/>
  <c r="K50" i="23"/>
  <c r="X49" i="23"/>
  <c r="W49" i="23"/>
  <c r="V49" i="23"/>
  <c r="U49" i="23"/>
  <c r="T49" i="23"/>
  <c r="S49" i="23"/>
  <c r="Q49" i="23"/>
  <c r="O49" i="23"/>
  <c r="M49" i="23"/>
  <c r="K49" i="23"/>
  <c r="X48" i="23"/>
  <c r="W48" i="23"/>
  <c r="V48" i="23"/>
  <c r="U48" i="23"/>
  <c r="T48" i="23"/>
  <c r="S48" i="23"/>
  <c r="Q48" i="23"/>
  <c r="O48" i="23"/>
  <c r="M48" i="23"/>
  <c r="K48" i="23"/>
  <c r="X47" i="23"/>
  <c r="W47" i="23"/>
  <c r="V47" i="23"/>
  <c r="U47" i="23"/>
  <c r="T47" i="23"/>
  <c r="S47" i="23"/>
  <c r="Q47" i="23"/>
  <c r="O47" i="23"/>
  <c r="M47" i="23"/>
  <c r="K47" i="23"/>
  <c r="X46" i="23"/>
  <c r="W46" i="23"/>
  <c r="V46" i="23"/>
  <c r="U46" i="23"/>
  <c r="T46" i="23"/>
  <c r="S46" i="23"/>
  <c r="Q46" i="23"/>
  <c r="O46" i="23"/>
  <c r="M46" i="23"/>
  <c r="K46" i="23"/>
  <c r="X45" i="23"/>
  <c r="W45" i="23"/>
  <c r="V45" i="23"/>
  <c r="U45" i="23"/>
  <c r="T45" i="23"/>
  <c r="S45" i="23"/>
  <c r="Q45" i="23"/>
  <c r="O45" i="23"/>
  <c r="M45" i="23"/>
  <c r="K45" i="23"/>
  <c r="X44" i="23"/>
  <c r="W44" i="23"/>
  <c r="V44" i="23"/>
  <c r="U44" i="23"/>
  <c r="T44" i="23"/>
  <c r="S44" i="23"/>
  <c r="Q44" i="23"/>
  <c r="O44" i="23"/>
  <c r="M44" i="23"/>
  <c r="K44" i="23"/>
  <c r="X43" i="23"/>
  <c r="W43" i="23"/>
  <c r="V43" i="23"/>
  <c r="U43" i="23"/>
  <c r="T43" i="23"/>
  <c r="S43" i="23"/>
  <c r="Q43" i="23"/>
  <c r="O43" i="23"/>
  <c r="M43" i="23"/>
  <c r="K43" i="23"/>
  <c r="X42" i="23"/>
  <c r="W42" i="23"/>
  <c r="V42" i="23"/>
  <c r="U42" i="23"/>
  <c r="T42" i="23"/>
  <c r="S42" i="23"/>
  <c r="Q42" i="23"/>
  <c r="O42" i="23"/>
  <c r="M42" i="23"/>
  <c r="K42" i="23"/>
  <c r="X41" i="23"/>
  <c r="W41" i="23"/>
  <c r="V41" i="23"/>
  <c r="U41" i="23"/>
  <c r="T41" i="23"/>
  <c r="S41" i="23"/>
  <c r="Q41" i="23"/>
  <c r="O41" i="23"/>
  <c r="M41" i="23"/>
  <c r="K41" i="23"/>
  <c r="X40" i="23"/>
  <c r="W40" i="23"/>
  <c r="V40" i="23"/>
  <c r="U40" i="23"/>
  <c r="T40" i="23"/>
  <c r="S40" i="23"/>
  <c r="Q40" i="23"/>
  <c r="O40" i="23"/>
  <c r="M40" i="23"/>
  <c r="K40" i="23"/>
  <c r="X39" i="23"/>
  <c r="W39" i="23"/>
  <c r="V39" i="23"/>
  <c r="U39" i="23"/>
  <c r="T39" i="23"/>
  <c r="S39" i="23"/>
  <c r="Q39" i="23"/>
  <c r="O39" i="23"/>
  <c r="M39" i="23"/>
  <c r="K39" i="23"/>
  <c r="X38" i="23"/>
  <c r="W38" i="23"/>
  <c r="V38" i="23"/>
  <c r="U38" i="23"/>
  <c r="T38" i="23"/>
  <c r="S38" i="23"/>
  <c r="Q38" i="23"/>
  <c r="O38" i="23"/>
  <c r="M38" i="23"/>
  <c r="K38" i="23"/>
  <c r="X37" i="23"/>
  <c r="W37" i="23"/>
  <c r="V37" i="23"/>
  <c r="U37" i="23"/>
  <c r="T37" i="23"/>
  <c r="S37" i="23"/>
  <c r="Q37" i="23"/>
  <c r="O37" i="23"/>
  <c r="M37" i="23"/>
  <c r="K37" i="23"/>
  <c r="X36" i="23"/>
  <c r="W36" i="23"/>
  <c r="V36" i="23"/>
  <c r="U36" i="23"/>
  <c r="T36" i="23"/>
  <c r="S36" i="23"/>
  <c r="Q36" i="23"/>
  <c r="O36" i="23"/>
  <c r="M36" i="23"/>
  <c r="K36" i="23"/>
  <c r="X35" i="23"/>
  <c r="W35" i="23"/>
  <c r="V35" i="23"/>
  <c r="U35" i="23"/>
  <c r="T35" i="23"/>
  <c r="S35" i="23"/>
  <c r="Q35" i="23"/>
  <c r="O35" i="23"/>
  <c r="M35" i="23"/>
  <c r="K35" i="23"/>
  <c r="X34" i="23"/>
  <c r="W34" i="23"/>
  <c r="V34" i="23"/>
  <c r="U34" i="23"/>
  <c r="T34" i="23"/>
  <c r="S34" i="23"/>
  <c r="Q34" i="23"/>
  <c r="O34" i="23"/>
  <c r="M34" i="23"/>
  <c r="K34" i="23"/>
  <c r="X33" i="23"/>
  <c r="W33" i="23"/>
  <c r="V33" i="23"/>
  <c r="U33" i="23"/>
  <c r="T33" i="23"/>
  <c r="S33" i="23"/>
  <c r="Q33" i="23"/>
  <c r="O33" i="23"/>
  <c r="M33" i="23"/>
  <c r="K33" i="23"/>
  <c r="X32" i="23"/>
  <c r="W32" i="23"/>
  <c r="V32" i="23"/>
  <c r="U32" i="23"/>
  <c r="T32" i="23"/>
  <c r="S32" i="23"/>
  <c r="Q32" i="23"/>
  <c r="O32" i="23"/>
  <c r="M32" i="23"/>
  <c r="K32" i="23"/>
  <c r="X31" i="23"/>
  <c r="W31" i="23"/>
  <c r="V31" i="23"/>
  <c r="U31" i="23"/>
  <c r="T31" i="23"/>
  <c r="S31" i="23"/>
  <c r="Q31" i="23"/>
  <c r="O31" i="23"/>
  <c r="M31" i="23"/>
  <c r="K31" i="23"/>
  <c r="X30" i="23"/>
  <c r="W30" i="23"/>
  <c r="V30" i="23"/>
  <c r="U30" i="23"/>
  <c r="T30" i="23"/>
  <c r="S30" i="23"/>
  <c r="Q30" i="23"/>
  <c r="O30" i="23"/>
  <c r="M30" i="23"/>
  <c r="K30" i="23"/>
  <c r="X29" i="23"/>
  <c r="W29" i="23"/>
  <c r="V29" i="23"/>
  <c r="U29" i="23"/>
  <c r="T29" i="23"/>
  <c r="S29" i="23"/>
  <c r="Q29" i="23"/>
  <c r="O29" i="23"/>
  <c r="M29" i="23"/>
  <c r="K29" i="23"/>
  <c r="X28" i="23"/>
  <c r="W28" i="23"/>
  <c r="V28" i="23"/>
  <c r="U28" i="23"/>
  <c r="T28" i="23"/>
  <c r="S28" i="23"/>
  <c r="Q28" i="23"/>
  <c r="O28" i="23"/>
  <c r="M28" i="23"/>
  <c r="K28" i="23"/>
  <c r="X27" i="23"/>
  <c r="W27" i="23"/>
  <c r="V27" i="23"/>
  <c r="U27" i="23"/>
  <c r="T27" i="23"/>
  <c r="S27" i="23"/>
  <c r="Q27" i="23"/>
  <c r="O27" i="23"/>
  <c r="M27" i="23"/>
  <c r="K27" i="23"/>
  <c r="X26" i="23"/>
  <c r="W26" i="23"/>
  <c r="V26" i="23"/>
  <c r="U26" i="23"/>
  <c r="T26" i="23"/>
  <c r="S26" i="23"/>
  <c r="Q26" i="23"/>
  <c r="O26" i="23"/>
  <c r="M26" i="23"/>
  <c r="K26" i="23"/>
  <c r="X25" i="23"/>
  <c r="W25" i="23"/>
  <c r="V25" i="23"/>
  <c r="U25" i="23"/>
  <c r="T25" i="23"/>
  <c r="S25" i="23"/>
  <c r="Q25" i="23"/>
  <c r="O25" i="23"/>
  <c r="M25" i="23"/>
  <c r="K25" i="23"/>
  <c r="X24" i="23"/>
  <c r="W24" i="23"/>
  <c r="V24" i="23"/>
  <c r="U24" i="23"/>
  <c r="T24" i="23"/>
  <c r="S24" i="23"/>
  <c r="Q24" i="23"/>
  <c r="O24" i="23"/>
  <c r="M24" i="23"/>
  <c r="K24" i="23"/>
  <c r="X23" i="23"/>
  <c r="W23" i="23"/>
  <c r="V23" i="23"/>
  <c r="U23" i="23"/>
  <c r="T23" i="23"/>
  <c r="S23" i="23"/>
  <c r="Q23" i="23"/>
  <c r="O23" i="23"/>
  <c r="M23" i="23"/>
  <c r="K23" i="23"/>
  <c r="X22" i="23"/>
  <c r="W22" i="23"/>
  <c r="V22" i="23"/>
  <c r="U22" i="23"/>
  <c r="T22" i="23"/>
  <c r="S22" i="23"/>
  <c r="Q22" i="23"/>
  <c r="O22" i="23"/>
  <c r="M22" i="23"/>
  <c r="K22" i="23"/>
  <c r="X21" i="23"/>
  <c r="W21" i="23"/>
  <c r="V21" i="23"/>
  <c r="U21" i="23"/>
  <c r="T21" i="23"/>
  <c r="S21" i="23"/>
  <c r="Q21" i="23"/>
  <c r="O21" i="23"/>
  <c r="M21" i="23"/>
  <c r="K21" i="23"/>
  <c r="X20" i="23"/>
  <c r="W20" i="23"/>
  <c r="V20" i="23"/>
  <c r="U20" i="23"/>
  <c r="T20" i="23"/>
  <c r="S20" i="23"/>
  <c r="Q20" i="23"/>
  <c r="O20" i="23"/>
  <c r="M20" i="23"/>
  <c r="K20" i="23"/>
  <c r="X19" i="23"/>
  <c r="W19" i="23"/>
  <c r="V19" i="23"/>
  <c r="U19" i="23"/>
  <c r="T19" i="23"/>
  <c r="S19" i="23"/>
  <c r="Q19" i="23"/>
  <c r="O19" i="23"/>
  <c r="M19" i="23"/>
  <c r="K19" i="23"/>
  <c r="X18" i="23"/>
  <c r="W18" i="23"/>
  <c r="V18" i="23"/>
  <c r="U18" i="23"/>
  <c r="T18" i="23"/>
  <c r="S18" i="23"/>
  <c r="Q18" i="23"/>
  <c r="O18" i="23"/>
  <c r="M18" i="23"/>
  <c r="K18" i="23"/>
  <c r="X17" i="23"/>
  <c r="W17" i="23"/>
  <c r="V17" i="23"/>
  <c r="U17" i="23"/>
  <c r="T17" i="23"/>
  <c r="S17" i="23"/>
  <c r="Q17" i="23"/>
  <c r="O17" i="23"/>
  <c r="M17" i="23"/>
  <c r="K17" i="23"/>
  <c r="X16" i="23"/>
  <c r="W16" i="23"/>
  <c r="V16" i="23"/>
  <c r="U16" i="23"/>
  <c r="T16" i="23"/>
  <c r="S16" i="23"/>
  <c r="Q16" i="23"/>
  <c r="O16" i="23"/>
  <c r="M16" i="23"/>
  <c r="K16" i="23"/>
  <c r="X15" i="23"/>
  <c r="W15" i="23"/>
  <c r="V15" i="23"/>
  <c r="U15" i="23"/>
  <c r="T15" i="23"/>
  <c r="S15" i="23"/>
  <c r="Q15" i="23"/>
  <c r="O15" i="23"/>
  <c r="M15" i="23"/>
  <c r="K15" i="23"/>
  <c r="X14" i="23"/>
  <c r="W14" i="23"/>
  <c r="V14" i="23"/>
  <c r="U14" i="23"/>
  <c r="T14" i="23"/>
  <c r="S14" i="23"/>
  <c r="Q14" i="23"/>
  <c r="O14" i="23"/>
  <c r="M14" i="23"/>
  <c r="K14" i="23"/>
  <c r="X13" i="23"/>
  <c r="W13" i="23"/>
  <c r="V13" i="23"/>
  <c r="U13" i="23"/>
  <c r="T13" i="23"/>
  <c r="S13" i="23"/>
  <c r="Q13" i="23"/>
  <c r="O13" i="23"/>
  <c r="M13" i="23"/>
  <c r="K13" i="23"/>
  <c r="X12" i="23"/>
  <c r="W12" i="23"/>
  <c r="V12" i="23"/>
  <c r="U12" i="23"/>
  <c r="T12" i="23"/>
  <c r="S12" i="23"/>
  <c r="Q12" i="23"/>
  <c r="O12" i="23"/>
  <c r="M12" i="23"/>
  <c r="K12" i="23"/>
  <c r="X11" i="23"/>
  <c r="W11" i="23"/>
  <c r="V11" i="23"/>
  <c r="U11" i="23"/>
  <c r="T11" i="23"/>
  <c r="S11" i="23"/>
  <c r="Q11" i="23"/>
  <c r="O11" i="23"/>
  <c r="M11" i="23"/>
  <c r="K11" i="23"/>
  <c r="X10" i="23"/>
  <c r="W10" i="23"/>
  <c r="V10" i="23"/>
  <c r="U10" i="23"/>
  <c r="T10" i="23"/>
  <c r="S10" i="23"/>
  <c r="Q10" i="23"/>
  <c r="O10" i="23"/>
  <c r="M10" i="23"/>
  <c r="K10" i="23"/>
  <c r="X9" i="23"/>
  <c r="W9" i="23"/>
  <c r="V9" i="23"/>
  <c r="U9" i="23"/>
  <c r="T9" i="23"/>
  <c r="S9" i="23"/>
  <c r="Q9" i="23"/>
  <c r="O9" i="23"/>
  <c r="M9" i="23"/>
  <c r="K9" i="23"/>
  <c r="X8" i="23"/>
  <c r="W8" i="23"/>
  <c r="V8" i="23"/>
  <c r="U8" i="23"/>
  <c r="T8" i="23"/>
  <c r="S8" i="23"/>
  <c r="Q8" i="23"/>
  <c r="O8" i="23"/>
  <c r="M8" i="23"/>
  <c r="K8" i="23"/>
  <c r="X7" i="23"/>
  <c r="W7" i="23"/>
  <c r="V7" i="23"/>
  <c r="U7" i="23"/>
  <c r="T7" i="23"/>
  <c r="S7" i="23"/>
  <c r="Q7" i="23"/>
  <c r="O7" i="23"/>
  <c r="M7" i="23"/>
  <c r="K7" i="23"/>
  <c r="X313" i="22"/>
  <c r="W313" i="22"/>
  <c r="V313" i="22"/>
  <c r="U313" i="22"/>
  <c r="T313" i="22"/>
  <c r="S313" i="22"/>
  <c r="Q313" i="22"/>
  <c r="O313" i="22"/>
  <c r="M313" i="22"/>
  <c r="K313" i="22"/>
  <c r="X312" i="22"/>
  <c r="W312" i="22"/>
  <c r="V312" i="22"/>
  <c r="U312" i="22"/>
  <c r="T312" i="22"/>
  <c r="S312" i="22"/>
  <c r="Q312" i="22"/>
  <c r="O312" i="22"/>
  <c r="M312" i="22"/>
  <c r="K312" i="22"/>
  <c r="X311" i="22"/>
  <c r="W311" i="22"/>
  <c r="V311" i="22"/>
  <c r="U311" i="22"/>
  <c r="T311" i="22"/>
  <c r="S311" i="22"/>
  <c r="Q311" i="22"/>
  <c r="O311" i="22"/>
  <c r="M311" i="22"/>
  <c r="K311" i="22"/>
  <c r="X310" i="22"/>
  <c r="W310" i="22"/>
  <c r="V310" i="22"/>
  <c r="U310" i="22"/>
  <c r="T310" i="22"/>
  <c r="S310" i="22"/>
  <c r="Q310" i="22"/>
  <c r="O310" i="22"/>
  <c r="M310" i="22"/>
  <c r="K310" i="22"/>
  <c r="X309" i="22"/>
  <c r="W309" i="22"/>
  <c r="V309" i="22"/>
  <c r="U309" i="22"/>
  <c r="T309" i="22"/>
  <c r="S309" i="22"/>
  <c r="Q309" i="22"/>
  <c r="O309" i="22"/>
  <c r="M309" i="22"/>
  <c r="K309" i="22"/>
  <c r="X308" i="22"/>
  <c r="W308" i="22"/>
  <c r="V308" i="22"/>
  <c r="U308" i="22"/>
  <c r="T308" i="22"/>
  <c r="S308" i="22"/>
  <c r="Q308" i="22"/>
  <c r="O308" i="22"/>
  <c r="M308" i="22"/>
  <c r="K308" i="22"/>
  <c r="X307" i="22"/>
  <c r="W307" i="22"/>
  <c r="V307" i="22"/>
  <c r="U307" i="22"/>
  <c r="T307" i="22"/>
  <c r="S307" i="22"/>
  <c r="Q307" i="22"/>
  <c r="O307" i="22"/>
  <c r="M307" i="22"/>
  <c r="K307" i="22"/>
  <c r="X306" i="22"/>
  <c r="W306" i="22"/>
  <c r="V306" i="22"/>
  <c r="U306" i="22"/>
  <c r="T306" i="22"/>
  <c r="S306" i="22"/>
  <c r="Q306" i="22"/>
  <c r="O306" i="22"/>
  <c r="M306" i="22"/>
  <c r="K306" i="22"/>
  <c r="X305" i="22"/>
  <c r="W305" i="22"/>
  <c r="V305" i="22"/>
  <c r="U305" i="22"/>
  <c r="T305" i="22"/>
  <c r="S305" i="22"/>
  <c r="Q305" i="22"/>
  <c r="O305" i="22"/>
  <c r="M305" i="22"/>
  <c r="K305" i="22"/>
  <c r="X304" i="22"/>
  <c r="W304" i="22"/>
  <c r="V304" i="22"/>
  <c r="U304" i="22"/>
  <c r="T304" i="22"/>
  <c r="S304" i="22"/>
  <c r="Q304" i="22"/>
  <c r="O304" i="22"/>
  <c r="M304" i="22"/>
  <c r="K304" i="22"/>
  <c r="X303" i="22"/>
  <c r="W303" i="22"/>
  <c r="V303" i="22"/>
  <c r="U303" i="22"/>
  <c r="T303" i="22"/>
  <c r="S303" i="22"/>
  <c r="Q303" i="22"/>
  <c r="O303" i="22"/>
  <c r="M303" i="22"/>
  <c r="K303" i="22"/>
  <c r="X302" i="22"/>
  <c r="W302" i="22"/>
  <c r="V302" i="22"/>
  <c r="U302" i="22"/>
  <c r="T302" i="22"/>
  <c r="S302" i="22"/>
  <c r="Q302" i="22"/>
  <c r="O302" i="22"/>
  <c r="M302" i="22"/>
  <c r="K302" i="22"/>
  <c r="X301" i="22"/>
  <c r="W301" i="22"/>
  <c r="V301" i="22"/>
  <c r="U301" i="22"/>
  <c r="T301" i="22"/>
  <c r="S301" i="22"/>
  <c r="Q301" i="22"/>
  <c r="O301" i="22"/>
  <c r="M301" i="22"/>
  <c r="K301" i="22"/>
  <c r="X300" i="22"/>
  <c r="W300" i="22"/>
  <c r="V300" i="22"/>
  <c r="U300" i="22"/>
  <c r="T300" i="22"/>
  <c r="S300" i="22"/>
  <c r="Q300" i="22"/>
  <c r="O300" i="22"/>
  <c r="M300" i="22"/>
  <c r="K300" i="22"/>
  <c r="X299" i="22"/>
  <c r="W299" i="22"/>
  <c r="V299" i="22"/>
  <c r="U299" i="22"/>
  <c r="T299" i="22"/>
  <c r="S299" i="22"/>
  <c r="Q299" i="22"/>
  <c r="O299" i="22"/>
  <c r="M299" i="22"/>
  <c r="K299" i="22"/>
  <c r="X298" i="22"/>
  <c r="W298" i="22"/>
  <c r="V298" i="22"/>
  <c r="U298" i="22"/>
  <c r="T298" i="22"/>
  <c r="S298" i="22"/>
  <c r="Q298" i="22"/>
  <c r="O298" i="22"/>
  <c r="M298" i="22"/>
  <c r="K298" i="22"/>
  <c r="X297" i="22"/>
  <c r="W297" i="22"/>
  <c r="V297" i="22"/>
  <c r="U297" i="22"/>
  <c r="T297" i="22"/>
  <c r="S297" i="22"/>
  <c r="Q297" i="22"/>
  <c r="O297" i="22"/>
  <c r="M297" i="22"/>
  <c r="K297" i="22"/>
  <c r="X296" i="22"/>
  <c r="W296" i="22"/>
  <c r="V296" i="22"/>
  <c r="U296" i="22"/>
  <c r="T296" i="22"/>
  <c r="S296" i="22"/>
  <c r="Q296" i="22"/>
  <c r="O296" i="22"/>
  <c r="M296" i="22"/>
  <c r="K296" i="22"/>
  <c r="X295" i="22"/>
  <c r="W295" i="22"/>
  <c r="V295" i="22"/>
  <c r="U295" i="22"/>
  <c r="T295" i="22"/>
  <c r="S295" i="22"/>
  <c r="Q295" i="22"/>
  <c r="O295" i="22"/>
  <c r="M295" i="22"/>
  <c r="K295" i="22"/>
  <c r="X294" i="22"/>
  <c r="W294" i="22"/>
  <c r="V294" i="22"/>
  <c r="U294" i="22"/>
  <c r="T294" i="22"/>
  <c r="S294" i="22"/>
  <c r="Q294" i="22"/>
  <c r="O294" i="22"/>
  <c r="M294" i="22"/>
  <c r="K294" i="22"/>
  <c r="X293" i="22"/>
  <c r="W293" i="22"/>
  <c r="V293" i="22"/>
  <c r="U293" i="22"/>
  <c r="T293" i="22"/>
  <c r="S293" i="22"/>
  <c r="Q293" i="22"/>
  <c r="O293" i="22"/>
  <c r="M293" i="22"/>
  <c r="K293" i="22"/>
  <c r="X292" i="22"/>
  <c r="W292" i="22"/>
  <c r="V292" i="22"/>
  <c r="U292" i="22"/>
  <c r="T292" i="22"/>
  <c r="S292" i="22"/>
  <c r="Q292" i="22"/>
  <c r="O292" i="22"/>
  <c r="M292" i="22"/>
  <c r="K292" i="22"/>
  <c r="X291" i="22"/>
  <c r="W291" i="22"/>
  <c r="V291" i="22"/>
  <c r="U291" i="22"/>
  <c r="T291" i="22"/>
  <c r="S291" i="22"/>
  <c r="Q291" i="22"/>
  <c r="O291" i="22"/>
  <c r="M291" i="22"/>
  <c r="K291" i="22"/>
  <c r="X290" i="22"/>
  <c r="W290" i="22"/>
  <c r="V290" i="22"/>
  <c r="U290" i="22"/>
  <c r="T290" i="22"/>
  <c r="S290" i="22"/>
  <c r="Q290" i="22"/>
  <c r="O290" i="22"/>
  <c r="M290" i="22"/>
  <c r="K290" i="22"/>
  <c r="X289" i="22"/>
  <c r="W289" i="22"/>
  <c r="V289" i="22"/>
  <c r="U289" i="22"/>
  <c r="T289" i="22"/>
  <c r="S289" i="22"/>
  <c r="Q289" i="22"/>
  <c r="O289" i="22"/>
  <c r="M289" i="22"/>
  <c r="K289" i="22"/>
  <c r="X288" i="22"/>
  <c r="W288" i="22"/>
  <c r="V288" i="22"/>
  <c r="U288" i="22"/>
  <c r="T288" i="22"/>
  <c r="S288" i="22"/>
  <c r="Q288" i="22"/>
  <c r="O288" i="22"/>
  <c r="M288" i="22"/>
  <c r="K288" i="22"/>
  <c r="X287" i="22"/>
  <c r="W287" i="22"/>
  <c r="V287" i="22"/>
  <c r="U287" i="22"/>
  <c r="T287" i="22"/>
  <c r="S287" i="22"/>
  <c r="Q287" i="22"/>
  <c r="O287" i="22"/>
  <c r="M287" i="22"/>
  <c r="K287" i="22"/>
  <c r="X286" i="22"/>
  <c r="W286" i="22"/>
  <c r="V286" i="22"/>
  <c r="U286" i="22"/>
  <c r="T286" i="22"/>
  <c r="S286" i="22"/>
  <c r="Q286" i="22"/>
  <c r="O286" i="22"/>
  <c r="M286" i="22"/>
  <c r="K286" i="22"/>
  <c r="X285" i="22"/>
  <c r="W285" i="22"/>
  <c r="V285" i="22"/>
  <c r="U285" i="22"/>
  <c r="T285" i="22"/>
  <c r="S285" i="22"/>
  <c r="Q285" i="22"/>
  <c r="O285" i="22"/>
  <c r="M285" i="22"/>
  <c r="K285" i="22"/>
  <c r="X284" i="22"/>
  <c r="W284" i="22"/>
  <c r="V284" i="22"/>
  <c r="U284" i="22"/>
  <c r="T284" i="22"/>
  <c r="S284" i="22"/>
  <c r="Q284" i="22"/>
  <c r="O284" i="22"/>
  <c r="M284" i="22"/>
  <c r="K284" i="22"/>
  <c r="X283" i="22"/>
  <c r="W283" i="22"/>
  <c r="V283" i="22"/>
  <c r="U283" i="22"/>
  <c r="T283" i="22"/>
  <c r="S283" i="22"/>
  <c r="Q283" i="22"/>
  <c r="O283" i="22"/>
  <c r="M283" i="22"/>
  <c r="K283" i="22"/>
  <c r="X282" i="22"/>
  <c r="W282" i="22"/>
  <c r="V282" i="22"/>
  <c r="U282" i="22"/>
  <c r="T282" i="22"/>
  <c r="S282" i="22"/>
  <c r="Q282" i="22"/>
  <c r="O282" i="22"/>
  <c r="M282" i="22"/>
  <c r="K282" i="22"/>
  <c r="X281" i="22"/>
  <c r="W281" i="22"/>
  <c r="V281" i="22"/>
  <c r="U281" i="22"/>
  <c r="T281" i="22"/>
  <c r="S281" i="22"/>
  <c r="Q281" i="22"/>
  <c r="O281" i="22"/>
  <c r="M281" i="22"/>
  <c r="K281" i="22"/>
  <c r="X280" i="22"/>
  <c r="W280" i="22"/>
  <c r="V280" i="22"/>
  <c r="U280" i="22"/>
  <c r="T280" i="22"/>
  <c r="S280" i="22"/>
  <c r="Q280" i="22"/>
  <c r="O280" i="22"/>
  <c r="M280" i="22"/>
  <c r="K280" i="22"/>
  <c r="X279" i="22"/>
  <c r="W279" i="22"/>
  <c r="V279" i="22"/>
  <c r="U279" i="22"/>
  <c r="T279" i="22"/>
  <c r="S279" i="22"/>
  <c r="Q279" i="22"/>
  <c r="O279" i="22"/>
  <c r="M279" i="22"/>
  <c r="K279" i="22"/>
  <c r="X278" i="22"/>
  <c r="W278" i="22"/>
  <c r="V278" i="22"/>
  <c r="U278" i="22"/>
  <c r="T278" i="22"/>
  <c r="S278" i="22"/>
  <c r="Q278" i="22"/>
  <c r="O278" i="22"/>
  <c r="M278" i="22"/>
  <c r="K278" i="22"/>
  <c r="X277" i="22"/>
  <c r="W277" i="22"/>
  <c r="V277" i="22"/>
  <c r="U277" i="22"/>
  <c r="T277" i="22"/>
  <c r="S277" i="22"/>
  <c r="Q277" i="22"/>
  <c r="O277" i="22"/>
  <c r="M277" i="22"/>
  <c r="K277" i="22"/>
  <c r="X276" i="22"/>
  <c r="W276" i="22"/>
  <c r="V276" i="22"/>
  <c r="U276" i="22"/>
  <c r="T276" i="22"/>
  <c r="S276" i="22"/>
  <c r="Q276" i="22"/>
  <c r="O276" i="22"/>
  <c r="M276" i="22"/>
  <c r="K276" i="22"/>
  <c r="X275" i="22"/>
  <c r="W275" i="22"/>
  <c r="V275" i="22"/>
  <c r="U275" i="22"/>
  <c r="T275" i="22"/>
  <c r="S275" i="22"/>
  <c r="Q275" i="22"/>
  <c r="O275" i="22"/>
  <c r="M275" i="22"/>
  <c r="K275" i="22"/>
  <c r="X274" i="22"/>
  <c r="W274" i="22"/>
  <c r="V274" i="22"/>
  <c r="U274" i="22"/>
  <c r="T274" i="22"/>
  <c r="S274" i="22"/>
  <c r="Q274" i="22"/>
  <c r="O274" i="22"/>
  <c r="M274" i="22"/>
  <c r="K274" i="22"/>
  <c r="X273" i="22"/>
  <c r="W273" i="22"/>
  <c r="V273" i="22"/>
  <c r="U273" i="22"/>
  <c r="T273" i="22"/>
  <c r="S273" i="22"/>
  <c r="Q273" i="22"/>
  <c r="O273" i="22"/>
  <c r="M273" i="22"/>
  <c r="K273" i="22"/>
  <c r="X272" i="22"/>
  <c r="W272" i="22"/>
  <c r="V272" i="22"/>
  <c r="U272" i="22"/>
  <c r="T272" i="22"/>
  <c r="S272" i="22"/>
  <c r="Q272" i="22"/>
  <c r="O272" i="22"/>
  <c r="M272" i="22"/>
  <c r="K272" i="22"/>
  <c r="X271" i="22"/>
  <c r="W271" i="22"/>
  <c r="V271" i="22"/>
  <c r="U271" i="22"/>
  <c r="T271" i="22"/>
  <c r="S271" i="22"/>
  <c r="Q271" i="22"/>
  <c r="O271" i="22"/>
  <c r="M271" i="22"/>
  <c r="K271" i="22"/>
  <c r="X270" i="22"/>
  <c r="W270" i="22"/>
  <c r="V270" i="22"/>
  <c r="U270" i="22"/>
  <c r="T270" i="22"/>
  <c r="S270" i="22"/>
  <c r="Q270" i="22"/>
  <c r="O270" i="22"/>
  <c r="M270" i="22"/>
  <c r="K270" i="22"/>
  <c r="X269" i="22"/>
  <c r="W269" i="22"/>
  <c r="V269" i="22"/>
  <c r="U269" i="22"/>
  <c r="T269" i="22"/>
  <c r="S269" i="22"/>
  <c r="Q269" i="22"/>
  <c r="O269" i="22"/>
  <c r="M269" i="22"/>
  <c r="K269" i="22"/>
  <c r="X268" i="22"/>
  <c r="W268" i="22"/>
  <c r="V268" i="22"/>
  <c r="U268" i="22"/>
  <c r="T268" i="22"/>
  <c r="S268" i="22"/>
  <c r="Q268" i="22"/>
  <c r="O268" i="22"/>
  <c r="M268" i="22"/>
  <c r="K268" i="22"/>
  <c r="X267" i="22"/>
  <c r="W267" i="22"/>
  <c r="V267" i="22"/>
  <c r="U267" i="22"/>
  <c r="T267" i="22"/>
  <c r="S267" i="22"/>
  <c r="Q267" i="22"/>
  <c r="O267" i="22"/>
  <c r="M267" i="22"/>
  <c r="K267" i="22"/>
  <c r="X266" i="22"/>
  <c r="W266" i="22"/>
  <c r="V266" i="22"/>
  <c r="U266" i="22"/>
  <c r="T266" i="22"/>
  <c r="S266" i="22"/>
  <c r="Q266" i="22"/>
  <c r="O266" i="22"/>
  <c r="M266" i="22"/>
  <c r="K266" i="22"/>
  <c r="X265" i="22"/>
  <c r="W265" i="22"/>
  <c r="V265" i="22"/>
  <c r="U265" i="22"/>
  <c r="T265" i="22"/>
  <c r="S265" i="22"/>
  <c r="Q265" i="22"/>
  <c r="O265" i="22"/>
  <c r="M265" i="22"/>
  <c r="K265" i="22"/>
  <c r="X264" i="22"/>
  <c r="W264" i="22"/>
  <c r="V264" i="22"/>
  <c r="U264" i="22"/>
  <c r="T264" i="22"/>
  <c r="S264" i="22"/>
  <c r="Q264" i="22"/>
  <c r="O264" i="22"/>
  <c r="M264" i="22"/>
  <c r="K264" i="22"/>
  <c r="X263" i="22"/>
  <c r="W263" i="22"/>
  <c r="V263" i="22"/>
  <c r="U263" i="22"/>
  <c r="T263" i="22"/>
  <c r="S263" i="22"/>
  <c r="Q263" i="22"/>
  <c r="O263" i="22"/>
  <c r="M263" i="22"/>
  <c r="K263" i="22"/>
  <c r="X262" i="22"/>
  <c r="W262" i="22"/>
  <c r="V262" i="22"/>
  <c r="U262" i="22"/>
  <c r="T262" i="22"/>
  <c r="S262" i="22"/>
  <c r="Q262" i="22"/>
  <c r="O262" i="22"/>
  <c r="M262" i="22"/>
  <c r="K262" i="22"/>
  <c r="X261" i="22"/>
  <c r="W261" i="22"/>
  <c r="V261" i="22"/>
  <c r="U261" i="22"/>
  <c r="T261" i="22"/>
  <c r="S261" i="22"/>
  <c r="Q261" i="22"/>
  <c r="O261" i="22"/>
  <c r="M261" i="22"/>
  <c r="K261" i="22"/>
  <c r="X260" i="22"/>
  <c r="W260" i="22"/>
  <c r="V260" i="22"/>
  <c r="U260" i="22"/>
  <c r="T260" i="22"/>
  <c r="S260" i="22"/>
  <c r="Q260" i="22"/>
  <c r="O260" i="22"/>
  <c r="M260" i="22"/>
  <c r="K260" i="22"/>
  <c r="X259" i="22"/>
  <c r="W259" i="22"/>
  <c r="V259" i="22"/>
  <c r="U259" i="22"/>
  <c r="T259" i="22"/>
  <c r="S259" i="22"/>
  <c r="Q259" i="22"/>
  <c r="O259" i="22"/>
  <c r="M259" i="22"/>
  <c r="K259" i="22"/>
  <c r="X258" i="22"/>
  <c r="W258" i="22"/>
  <c r="V258" i="22"/>
  <c r="U258" i="22"/>
  <c r="T258" i="22"/>
  <c r="S258" i="22"/>
  <c r="Q258" i="22"/>
  <c r="O258" i="22"/>
  <c r="M258" i="22"/>
  <c r="K258" i="22"/>
  <c r="X257" i="22"/>
  <c r="W257" i="22"/>
  <c r="V257" i="22"/>
  <c r="U257" i="22"/>
  <c r="T257" i="22"/>
  <c r="S257" i="22"/>
  <c r="Q257" i="22"/>
  <c r="O257" i="22"/>
  <c r="M257" i="22"/>
  <c r="K257" i="22"/>
  <c r="X256" i="22"/>
  <c r="W256" i="22"/>
  <c r="V256" i="22"/>
  <c r="U256" i="22"/>
  <c r="T256" i="22"/>
  <c r="S256" i="22"/>
  <c r="Q256" i="22"/>
  <c r="O256" i="22"/>
  <c r="M256" i="22"/>
  <c r="K256" i="22"/>
  <c r="X255" i="22"/>
  <c r="W255" i="22"/>
  <c r="V255" i="22"/>
  <c r="U255" i="22"/>
  <c r="T255" i="22"/>
  <c r="S255" i="22"/>
  <c r="Q255" i="22"/>
  <c r="O255" i="22"/>
  <c r="M255" i="22"/>
  <c r="K255" i="22"/>
  <c r="X254" i="22"/>
  <c r="W254" i="22"/>
  <c r="V254" i="22"/>
  <c r="U254" i="22"/>
  <c r="T254" i="22"/>
  <c r="S254" i="22"/>
  <c r="Q254" i="22"/>
  <c r="O254" i="22"/>
  <c r="M254" i="22"/>
  <c r="K254" i="22"/>
  <c r="X253" i="22"/>
  <c r="W253" i="22"/>
  <c r="V253" i="22"/>
  <c r="U253" i="22"/>
  <c r="T253" i="22"/>
  <c r="S253" i="22"/>
  <c r="Q253" i="22"/>
  <c r="O253" i="22"/>
  <c r="M253" i="22"/>
  <c r="K253" i="22"/>
  <c r="X252" i="22"/>
  <c r="W252" i="22"/>
  <c r="V252" i="22"/>
  <c r="U252" i="22"/>
  <c r="T252" i="22"/>
  <c r="S252" i="22"/>
  <c r="Q252" i="22"/>
  <c r="O252" i="22"/>
  <c r="M252" i="22"/>
  <c r="K252" i="22"/>
  <c r="X251" i="22"/>
  <c r="W251" i="22"/>
  <c r="V251" i="22"/>
  <c r="U251" i="22"/>
  <c r="T251" i="22"/>
  <c r="S251" i="22"/>
  <c r="Q251" i="22"/>
  <c r="O251" i="22"/>
  <c r="M251" i="22"/>
  <c r="K251" i="22"/>
  <c r="X250" i="22"/>
  <c r="W250" i="22"/>
  <c r="V250" i="22"/>
  <c r="U250" i="22"/>
  <c r="T250" i="22"/>
  <c r="S250" i="22"/>
  <c r="Q250" i="22"/>
  <c r="O250" i="22"/>
  <c r="M250" i="22"/>
  <c r="K250" i="22"/>
  <c r="X249" i="22"/>
  <c r="W249" i="22"/>
  <c r="V249" i="22"/>
  <c r="U249" i="22"/>
  <c r="T249" i="22"/>
  <c r="S249" i="22"/>
  <c r="Q249" i="22"/>
  <c r="O249" i="22"/>
  <c r="M249" i="22"/>
  <c r="K249" i="22"/>
  <c r="X248" i="22"/>
  <c r="W248" i="22"/>
  <c r="V248" i="22"/>
  <c r="U248" i="22"/>
  <c r="T248" i="22"/>
  <c r="S248" i="22"/>
  <c r="Q248" i="22"/>
  <c r="O248" i="22"/>
  <c r="M248" i="22"/>
  <c r="K248" i="22"/>
  <c r="X247" i="22"/>
  <c r="W247" i="22"/>
  <c r="V247" i="22"/>
  <c r="U247" i="22"/>
  <c r="T247" i="22"/>
  <c r="S247" i="22"/>
  <c r="Q247" i="22"/>
  <c r="O247" i="22"/>
  <c r="M247" i="22"/>
  <c r="K247" i="22"/>
  <c r="X246" i="22"/>
  <c r="W246" i="22"/>
  <c r="V246" i="22"/>
  <c r="U246" i="22"/>
  <c r="T246" i="22"/>
  <c r="S246" i="22"/>
  <c r="Q246" i="22"/>
  <c r="O246" i="22"/>
  <c r="M246" i="22"/>
  <c r="K246" i="22"/>
  <c r="X245" i="22"/>
  <c r="W245" i="22"/>
  <c r="V245" i="22"/>
  <c r="U245" i="22"/>
  <c r="T245" i="22"/>
  <c r="S245" i="22"/>
  <c r="Q245" i="22"/>
  <c r="O245" i="22"/>
  <c r="M245" i="22"/>
  <c r="K245" i="22"/>
  <c r="X244" i="22"/>
  <c r="W244" i="22"/>
  <c r="V244" i="22"/>
  <c r="U244" i="22"/>
  <c r="T244" i="22"/>
  <c r="S244" i="22"/>
  <c r="Q244" i="22"/>
  <c r="O244" i="22"/>
  <c r="M244" i="22"/>
  <c r="K244" i="22"/>
  <c r="X243" i="22"/>
  <c r="W243" i="22"/>
  <c r="V243" i="22"/>
  <c r="U243" i="22"/>
  <c r="T243" i="22"/>
  <c r="S243" i="22"/>
  <c r="Q243" i="22"/>
  <c r="O243" i="22"/>
  <c r="M243" i="22"/>
  <c r="K243" i="22"/>
  <c r="X242" i="22"/>
  <c r="W242" i="22"/>
  <c r="V242" i="22"/>
  <c r="U242" i="22"/>
  <c r="T242" i="22"/>
  <c r="S242" i="22"/>
  <c r="Q242" i="22"/>
  <c r="O242" i="22"/>
  <c r="M242" i="22"/>
  <c r="K242" i="22"/>
  <c r="X241" i="22"/>
  <c r="W241" i="22"/>
  <c r="V241" i="22"/>
  <c r="U241" i="22"/>
  <c r="T241" i="22"/>
  <c r="S241" i="22"/>
  <c r="Q241" i="22"/>
  <c r="O241" i="22"/>
  <c r="M241" i="22"/>
  <c r="K241" i="22"/>
  <c r="X240" i="22"/>
  <c r="W240" i="22"/>
  <c r="V240" i="22"/>
  <c r="U240" i="22"/>
  <c r="T240" i="22"/>
  <c r="S240" i="22"/>
  <c r="Q240" i="22"/>
  <c r="O240" i="22"/>
  <c r="M240" i="22"/>
  <c r="K240" i="22"/>
  <c r="X239" i="22"/>
  <c r="W239" i="22"/>
  <c r="V239" i="22"/>
  <c r="U239" i="22"/>
  <c r="T239" i="22"/>
  <c r="S239" i="22"/>
  <c r="Q239" i="22"/>
  <c r="O239" i="22"/>
  <c r="M239" i="22"/>
  <c r="K239" i="22"/>
  <c r="X238" i="22"/>
  <c r="W238" i="22"/>
  <c r="V238" i="22"/>
  <c r="U238" i="22"/>
  <c r="T238" i="22"/>
  <c r="S238" i="22"/>
  <c r="Q238" i="22"/>
  <c r="O238" i="22"/>
  <c r="M238" i="22"/>
  <c r="K238" i="22"/>
  <c r="X237" i="22"/>
  <c r="W237" i="22"/>
  <c r="V237" i="22"/>
  <c r="U237" i="22"/>
  <c r="T237" i="22"/>
  <c r="S237" i="22"/>
  <c r="Q237" i="22"/>
  <c r="O237" i="22"/>
  <c r="M237" i="22"/>
  <c r="K237" i="22"/>
  <c r="X236" i="22"/>
  <c r="W236" i="22"/>
  <c r="V236" i="22"/>
  <c r="U236" i="22"/>
  <c r="T236" i="22"/>
  <c r="S236" i="22"/>
  <c r="Q236" i="22"/>
  <c r="O236" i="22"/>
  <c r="M236" i="22"/>
  <c r="K236" i="22"/>
  <c r="X235" i="22"/>
  <c r="W235" i="22"/>
  <c r="V235" i="22"/>
  <c r="U235" i="22"/>
  <c r="T235" i="22"/>
  <c r="S235" i="22"/>
  <c r="Q235" i="22"/>
  <c r="O235" i="22"/>
  <c r="M235" i="22"/>
  <c r="K235" i="22"/>
  <c r="X234" i="22"/>
  <c r="W234" i="22"/>
  <c r="V234" i="22"/>
  <c r="U234" i="22"/>
  <c r="T234" i="22"/>
  <c r="S234" i="22"/>
  <c r="Q234" i="22"/>
  <c r="O234" i="22"/>
  <c r="M234" i="22"/>
  <c r="K234" i="22"/>
  <c r="X233" i="22"/>
  <c r="W233" i="22"/>
  <c r="V233" i="22"/>
  <c r="U233" i="22"/>
  <c r="T233" i="22"/>
  <c r="S233" i="22"/>
  <c r="Q233" i="22"/>
  <c r="O233" i="22"/>
  <c r="M233" i="22"/>
  <c r="K233" i="22"/>
  <c r="X232" i="22"/>
  <c r="W232" i="22"/>
  <c r="V232" i="22"/>
  <c r="U232" i="22"/>
  <c r="T232" i="22"/>
  <c r="S232" i="22"/>
  <c r="Q232" i="22"/>
  <c r="O232" i="22"/>
  <c r="M232" i="22"/>
  <c r="K232" i="22"/>
  <c r="X231" i="22"/>
  <c r="W231" i="22"/>
  <c r="V231" i="22"/>
  <c r="U231" i="22"/>
  <c r="T231" i="22"/>
  <c r="S231" i="22"/>
  <c r="Q231" i="22"/>
  <c r="O231" i="22"/>
  <c r="M231" i="22"/>
  <c r="K231" i="22"/>
  <c r="X230" i="22"/>
  <c r="W230" i="22"/>
  <c r="V230" i="22"/>
  <c r="U230" i="22"/>
  <c r="T230" i="22"/>
  <c r="S230" i="22"/>
  <c r="Q230" i="22"/>
  <c r="O230" i="22"/>
  <c r="M230" i="22"/>
  <c r="K230" i="22"/>
  <c r="X229" i="22"/>
  <c r="W229" i="22"/>
  <c r="V229" i="22"/>
  <c r="U229" i="22"/>
  <c r="T229" i="22"/>
  <c r="S229" i="22"/>
  <c r="Q229" i="22"/>
  <c r="O229" i="22"/>
  <c r="M229" i="22"/>
  <c r="K229" i="22"/>
  <c r="X228" i="22"/>
  <c r="W228" i="22"/>
  <c r="V228" i="22"/>
  <c r="U228" i="22"/>
  <c r="T228" i="22"/>
  <c r="S228" i="22"/>
  <c r="Q228" i="22"/>
  <c r="O228" i="22"/>
  <c r="M228" i="22"/>
  <c r="K228" i="22"/>
  <c r="X227" i="22"/>
  <c r="W227" i="22"/>
  <c r="V227" i="22"/>
  <c r="U227" i="22"/>
  <c r="T227" i="22"/>
  <c r="S227" i="22"/>
  <c r="Q227" i="22"/>
  <c r="O227" i="22"/>
  <c r="M227" i="22"/>
  <c r="K227" i="22"/>
  <c r="X226" i="22"/>
  <c r="W226" i="22"/>
  <c r="V226" i="22"/>
  <c r="U226" i="22"/>
  <c r="T226" i="22"/>
  <c r="S226" i="22"/>
  <c r="Q226" i="22"/>
  <c r="O226" i="22"/>
  <c r="M226" i="22"/>
  <c r="K226" i="22"/>
  <c r="X225" i="22"/>
  <c r="W225" i="22"/>
  <c r="V225" i="22"/>
  <c r="U225" i="22"/>
  <c r="T225" i="22"/>
  <c r="S225" i="22"/>
  <c r="Q225" i="22"/>
  <c r="O225" i="22"/>
  <c r="M225" i="22"/>
  <c r="K225" i="22"/>
  <c r="X224" i="22"/>
  <c r="W224" i="22"/>
  <c r="V224" i="22"/>
  <c r="U224" i="22"/>
  <c r="T224" i="22"/>
  <c r="S224" i="22"/>
  <c r="Q224" i="22"/>
  <c r="O224" i="22"/>
  <c r="M224" i="22"/>
  <c r="K224" i="22"/>
  <c r="X223" i="22"/>
  <c r="W223" i="22"/>
  <c r="V223" i="22"/>
  <c r="U223" i="22"/>
  <c r="T223" i="22"/>
  <c r="S223" i="22"/>
  <c r="Q223" i="22"/>
  <c r="O223" i="22"/>
  <c r="M223" i="22"/>
  <c r="K223" i="22"/>
  <c r="X222" i="22"/>
  <c r="W222" i="22"/>
  <c r="V222" i="22"/>
  <c r="U222" i="22"/>
  <c r="T222" i="22"/>
  <c r="S222" i="22"/>
  <c r="Q222" i="22"/>
  <c r="O222" i="22"/>
  <c r="M222" i="22"/>
  <c r="K222" i="22"/>
  <c r="X221" i="22"/>
  <c r="W221" i="22"/>
  <c r="V221" i="22"/>
  <c r="U221" i="22"/>
  <c r="T221" i="22"/>
  <c r="S221" i="22"/>
  <c r="Q221" i="22"/>
  <c r="O221" i="22"/>
  <c r="M221" i="22"/>
  <c r="K221" i="22"/>
  <c r="X220" i="22"/>
  <c r="W220" i="22"/>
  <c r="V220" i="22"/>
  <c r="U220" i="22"/>
  <c r="T220" i="22"/>
  <c r="S220" i="22"/>
  <c r="Q220" i="22"/>
  <c r="O220" i="22"/>
  <c r="M220" i="22"/>
  <c r="K220" i="22"/>
  <c r="X219" i="22"/>
  <c r="W219" i="22"/>
  <c r="V219" i="22"/>
  <c r="U219" i="22"/>
  <c r="T219" i="22"/>
  <c r="S219" i="22"/>
  <c r="Q219" i="22"/>
  <c r="O219" i="22"/>
  <c r="M219" i="22"/>
  <c r="K219" i="22"/>
  <c r="X218" i="22"/>
  <c r="W218" i="22"/>
  <c r="V218" i="22"/>
  <c r="U218" i="22"/>
  <c r="T218" i="22"/>
  <c r="S218" i="22"/>
  <c r="Q218" i="22"/>
  <c r="O218" i="22"/>
  <c r="M218" i="22"/>
  <c r="K218" i="22"/>
  <c r="X217" i="22"/>
  <c r="W217" i="22"/>
  <c r="V217" i="22"/>
  <c r="U217" i="22"/>
  <c r="T217" i="22"/>
  <c r="S217" i="22"/>
  <c r="Q217" i="22"/>
  <c r="O217" i="22"/>
  <c r="M217" i="22"/>
  <c r="K217" i="22"/>
  <c r="X216" i="22"/>
  <c r="W216" i="22"/>
  <c r="V216" i="22"/>
  <c r="U216" i="22"/>
  <c r="T216" i="22"/>
  <c r="S216" i="22"/>
  <c r="Q216" i="22"/>
  <c r="O216" i="22"/>
  <c r="M216" i="22"/>
  <c r="K216" i="22"/>
  <c r="X215" i="22"/>
  <c r="W215" i="22"/>
  <c r="V215" i="22"/>
  <c r="U215" i="22"/>
  <c r="T215" i="22"/>
  <c r="S215" i="22"/>
  <c r="Q215" i="22"/>
  <c r="O215" i="22"/>
  <c r="M215" i="22"/>
  <c r="K215" i="22"/>
  <c r="X214" i="22"/>
  <c r="W214" i="22"/>
  <c r="V214" i="22"/>
  <c r="U214" i="22"/>
  <c r="T214" i="22"/>
  <c r="S214" i="22"/>
  <c r="Q214" i="22"/>
  <c r="O214" i="22"/>
  <c r="M214" i="22"/>
  <c r="K214" i="22"/>
  <c r="X213" i="22"/>
  <c r="W213" i="22"/>
  <c r="V213" i="22"/>
  <c r="U213" i="22"/>
  <c r="T213" i="22"/>
  <c r="S213" i="22"/>
  <c r="Q213" i="22"/>
  <c r="O213" i="22"/>
  <c r="M213" i="22"/>
  <c r="K213" i="22"/>
  <c r="X212" i="22"/>
  <c r="W212" i="22"/>
  <c r="V212" i="22"/>
  <c r="U212" i="22"/>
  <c r="T212" i="22"/>
  <c r="S212" i="22"/>
  <c r="Q212" i="22"/>
  <c r="O212" i="22"/>
  <c r="M212" i="22"/>
  <c r="K212" i="22"/>
  <c r="X211" i="22"/>
  <c r="W211" i="22"/>
  <c r="V211" i="22"/>
  <c r="U211" i="22"/>
  <c r="T211" i="22"/>
  <c r="S211" i="22"/>
  <c r="Q211" i="22"/>
  <c r="O211" i="22"/>
  <c r="M211" i="22"/>
  <c r="K211" i="22"/>
  <c r="X210" i="22"/>
  <c r="W210" i="22"/>
  <c r="V210" i="22"/>
  <c r="U210" i="22"/>
  <c r="T210" i="22"/>
  <c r="S210" i="22"/>
  <c r="Q210" i="22"/>
  <c r="O210" i="22"/>
  <c r="M210" i="22"/>
  <c r="K210" i="22"/>
  <c r="X209" i="22"/>
  <c r="W209" i="22"/>
  <c r="V209" i="22"/>
  <c r="U209" i="22"/>
  <c r="T209" i="22"/>
  <c r="S209" i="22"/>
  <c r="Q209" i="22"/>
  <c r="O209" i="22"/>
  <c r="M209" i="22"/>
  <c r="K209" i="22"/>
  <c r="X208" i="22"/>
  <c r="W208" i="22"/>
  <c r="V208" i="22"/>
  <c r="U208" i="22"/>
  <c r="T208" i="22"/>
  <c r="S208" i="22"/>
  <c r="Q208" i="22"/>
  <c r="O208" i="22"/>
  <c r="M208" i="22"/>
  <c r="K208" i="22"/>
  <c r="X207" i="22"/>
  <c r="W207" i="22"/>
  <c r="V207" i="22"/>
  <c r="U207" i="22"/>
  <c r="T207" i="22"/>
  <c r="S207" i="22"/>
  <c r="Q207" i="22"/>
  <c r="O207" i="22"/>
  <c r="M207" i="22"/>
  <c r="K207" i="22"/>
  <c r="X206" i="22"/>
  <c r="W206" i="22"/>
  <c r="V206" i="22"/>
  <c r="U206" i="22"/>
  <c r="T206" i="22"/>
  <c r="S206" i="22"/>
  <c r="Q206" i="22"/>
  <c r="O206" i="22"/>
  <c r="M206" i="22"/>
  <c r="K206" i="22"/>
  <c r="X205" i="22"/>
  <c r="W205" i="22"/>
  <c r="V205" i="22"/>
  <c r="U205" i="22"/>
  <c r="T205" i="22"/>
  <c r="S205" i="22"/>
  <c r="Q205" i="22"/>
  <c r="O205" i="22"/>
  <c r="M205" i="22"/>
  <c r="K205" i="22"/>
  <c r="X204" i="22"/>
  <c r="W204" i="22"/>
  <c r="V204" i="22"/>
  <c r="U204" i="22"/>
  <c r="T204" i="22"/>
  <c r="S204" i="22"/>
  <c r="Q204" i="22"/>
  <c r="O204" i="22"/>
  <c r="M204" i="22"/>
  <c r="K204" i="22"/>
  <c r="X203" i="22"/>
  <c r="W203" i="22"/>
  <c r="V203" i="22"/>
  <c r="U203" i="22"/>
  <c r="T203" i="22"/>
  <c r="S203" i="22"/>
  <c r="Q203" i="22"/>
  <c r="O203" i="22"/>
  <c r="M203" i="22"/>
  <c r="K203" i="22"/>
  <c r="X202" i="22"/>
  <c r="W202" i="22"/>
  <c r="V202" i="22"/>
  <c r="U202" i="22"/>
  <c r="T202" i="22"/>
  <c r="S202" i="22"/>
  <c r="Q202" i="22"/>
  <c r="O202" i="22"/>
  <c r="M202" i="22"/>
  <c r="K202" i="22"/>
  <c r="X201" i="22"/>
  <c r="W201" i="22"/>
  <c r="V201" i="22"/>
  <c r="U201" i="22"/>
  <c r="T201" i="22"/>
  <c r="S201" i="22"/>
  <c r="Q201" i="22"/>
  <c r="O201" i="22"/>
  <c r="M201" i="22"/>
  <c r="K201" i="22"/>
  <c r="X200" i="22"/>
  <c r="W200" i="22"/>
  <c r="V200" i="22"/>
  <c r="U200" i="22"/>
  <c r="T200" i="22"/>
  <c r="S200" i="22"/>
  <c r="Q200" i="22"/>
  <c r="O200" i="22"/>
  <c r="M200" i="22"/>
  <c r="K200" i="22"/>
  <c r="X199" i="22"/>
  <c r="W199" i="22"/>
  <c r="V199" i="22"/>
  <c r="U199" i="22"/>
  <c r="T199" i="22"/>
  <c r="S199" i="22"/>
  <c r="Q199" i="22"/>
  <c r="O199" i="22"/>
  <c r="M199" i="22"/>
  <c r="K199" i="22"/>
  <c r="X198" i="22"/>
  <c r="W198" i="22"/>
  <c r="V198" i="22"/>
  <c r="U198" i="22"/>
  <c r="T198" i="22"/>
  <c r="S198" i="22"/>
  <c r="Q198" i="22"/>
  <c r="O198" i="22"/>
  <c r="M198" i="22"/>
  <c r="K198" i="22"/>
  <c r="X197" i="22"/>
  <c r="W197" i="22"/>
  <c r="V197" i="22"/>
  <c r="U197" i="22"/>
  <c r="T197" i="22"/>
  <c r="S197" i="22"/>
  <c r="Q197" i="22"/>
  <c r="O197" i="22"/>
  <c r="M197" i="22"/>
  <c r="K197" i="22"/>
  <c r="X196" i="22"/>
  <c r="W196" i="22"/>
  <c r="V196" i="22"/>
  <c r="U196" i="22"/>
  <c r="T196" i="22"/>
  <c r="S196" i="22"/>
  <c r="Q196" i="22"/>
  <c r="O196" i="22"/>
  <c r="M196" i="22"/>
  <c r="K196" i="22"/>
  <c r="X195" i="22"/>
  <c r="W195" i="22"/>
  <c r="V195" i="22"/>
  <c r="U195" i="22"/>
  <c r="T195" i="22"/>
  <c r="S195" i="22"/>
  <c r="Q195" i="22"/>
  <c r="O195" i="22"/>
  <c r="M195" i="22"/>
  <c r="K195" i="22"/>
  <c r="X194" i="22"/>
  <c r="W194" i="22"/>
  <c r="V194" i="22"/>
  <c r="U194" i="22"/>
  <c r="T194" i="22"/>
  <c r="S194" i="22"/>
  <c r="Q194" i="22"/>
  <c r="O194" i="22"/>
  <c r="M194" i="22"/>
  <c r="K194" i="22"/>
  <c r="X193" i="22"/>
  <c r="W193" i="22"/>
  <c r="V193" i="22"/>
  <c r="U193" i="22"/>
  <c r="T193" i="22"/>
  <c r="S193" i="22"/>
  <c r="Q193" i="22"/>
  <c r="O193" i="22"/>
  <c r="M193" i="22"/>
  <c r="K193" i="22"/>
  <c r="X192" i="22"/>
  <c r="W192" i="22"/>
  <c r="V192" i="22"/>
  <c r="U192" i="22"/>
  <c r="T192" i="22"/>
  <c r="S192" i="22"/>
  <c r="Q192" i="22"/>
  <c r="O192" i="22"/>
  <c r="M192" i="22"/>
  <c r="K192" i="22"/>
  <c r="X191" i="22"/>
  <c r="W191" i="22"/>
  <c r="V191" i="22"/>
  <c r="U191" i="22"/>
  <c r="T191" i="22"/>
  <c r="S191" i="22"/>
  <c r="Q191" i="22"/>
  <c r="O191" i="22"/>
  <c r="M191" i="22"/>
  <c r="K191" i="22"/>
  <c r="X190" i="22"/>
  <c r="W190" i="22"/>
  <c r="V190" i="22"/>
  <c r="U190" i="22"/>
  <c r="T190" i="22"/>
  <c r="S190" i="22"/>
  <c r="Q190" i="22"/>
  <c r="O190" i="22"/>
  <c r="M190" i="22"/>
  <c r="K190" i="22"/>
  <c r="X189" i="22"/>
  <c r="W189" i="22"/>
  <c r="V189" i="22"/>
  <c r="U189" i="22"/>
  <c r="T189" i="22"/>
  <c r="S189" i="22"/>
  <c r="Q189" i="22"/>
  <c r="O189" i="22"/>
  <c r="M189" i="22"/>
  <c r="K189" i="22"/>
  <c r="X188" i="22"/>
  <c r="W188" i="22"/>
  <c r="V188" i="22"/>
  <c r="U188" i="22"/>
  <c r="T188" i="22"/>
  <c r="S188" i="22"/>
  <c r="Q188" i="22"/>
  <c r="O188" i="22"/>
  <c r="M188" i="22"/>
  <c r="K188" i="22"/>
  <c r="X187" i="22"/>
  <c r="W187" i="22"/>
  <c r="V187" i="22"/>
  <c r="U187" i="22"/>
  <c r="T187" i="22"/>
  <c r="S187" i="22"/>
  <c r="Q187" i="22"/>
  <c r="O187" i="22"/>
  <c r="M187" i="22"/>
  <c r="K187" i="22"/>
  <c r="X186" i="22"/>
  <c r="W186" i="22"/>
  <c r="V186" i="22"/>
  <c r="U186" i="22"/>
  <c r="T186" i="22"/>
  <c r="S186" i="22"/>
  <c r="Q186" i="22"/>
  <c r="O186" i="22"/>
  <c r="M186" i="22"/>
  <c r="K186" i="22"/>
  <c r="X185" i="22"/>
  <c r="W185" i="22"/>
  <c r="V185" i="22"/>
  <c r="U185" i="22"/>
  <c r="T185" i="22"/>
  <c r="S185" i="22"/>
  <c r="Q185" i="22"/>
  <c r="O185" i="22"/>
  <c r="M185" i="22"/>
  <c r="K185" i="22"/>
  <c r="X184" i="22"/>
  <c r="W184" i="22"/>
  <c r="V184" i="22"/>
  <c r="U184" i="22"/>
  <c r="T184" i="22"/>
  <c r="S184" i="22"/>
  <c r="Q184" i="22"/>
  <c r="O184" i="22"/>
  <c r="M184" i="22"/>
  <c r="K184" i="22"/>
  <c r="X183" i="22"/>
  <c r="W183" i="22"/>
  <c r="V183" i="22"/>
  <c r="U183" i="22"/>
  <c r="T183" i="22"/>
  <c r="S183" i="22"/>
  <c r="Q183" i="22"/>
  <c r="O183" i="22"/>
  <c r="M183" i="22"/>
  <c r="K183" i="22"/>
  <c r="X182" i="22"/>
  <c r="W182" i="22"/>
  <c r="V182" i="22"/>
  <c r="U182" i="22"/>
  <c r="T182" i="22"/>
  <c r="S182" i="22"/>
  <c r="Q182" i="22"/>
  <c r="O182" i="22"/>
  <c r="M182" i="22"/>
  <c r="K182" i="22"/>
  <c r="X181" i="22"/>
  <c r="W181" i="22"/>
  <c r="V181" i="22"/>
  <c r="U181" i="22"/>
  <c r="T181" i="22"/>
  <c r="S181" i="22"/>
  <c r="Q181" i="22"/>
  <c r="O181" i="22"/>
  <c r="M181" i="22"/>
  <c r="K181" i="22"/>
  <c r="X180" i="22"/>
  <c r="W180" i="22"/>
  <c r="V180" i="22"/>
  <c r="U180" i="22"/>
  <c r="T180" i="22"/>
  <c r="S180" i="22"/>
  <c r="Q180" i="22"/>
  <c r="O180" i="22"/>
  <c r="M180" i="22"/>
  <c r="K180" i="22"/>
  <c r="X179" i="22"/>
  <c r="W179" i="22"/>
  <c r="V179" i="22"/>
  <c r="U179" i="22"/>
  <c r="T179" i="22"/>
  <c r="S179" i="22"/>
  <c r="Q179" i="22"/>
  <c r="O179" i="22"/>
  <c r="M179" i="22"/>
  <c r="K179" i="22"/>
  <c r="X178" i="22"/>
  <c r="W178" i="22"/>
  <c r="V178" i="22"/>
  <c r="U178" i="22"/>
  <c r="T178" i="22"/>
  <c r="S178" i="22"/>
  <c r="Q178" i="22"/>
  <c r="O178" i="22"/>
  <c r="M178" i="22"/>
  <c r="K178" i="22"/>
  <c r="X177" i="22"/>
  <c r="W177" i="22"/>
  <c r="V177" i="22"/>
  <c r="U177" i="22"/>
  <c r="T177" i="22"/>
  <c r="S177" i="22"/>
  <c r="Q177" i="22"/>
  <c r="O177" i="22"/>
  <c r="M177" i="22"/>
  <c r="K177" i="22"/>
  <c r="X176" i="22"/>
  <c r="W176" i="22"/>
  <c r="V176" i="22"/>
  <c r="U176" i="22"/>
  <c r="T176" i="22"/>
  <c r="S176" i="22"/>
  <c r="Q176" i="22"/>
  <c r="O176" i="22"/>
  <c r="M176" i="22"/>
  <c r="K176" i="22"/>
  <c r="X175" i="22"/>
  <c r="W175" i="22"/>
  <c r="V175" i="22"/>
  <c r="U175" i="22"/>
  <c r="T175" i="22"/>
  <c r="S175" i="22"/>
  <c r="Q175" i="22"/>
  <c r="O175" i="22"/>
  <c r="M175" i="22"/>
  <c r="K175" i="22"/>
  <c r="X174" i="22"/>
  <c r="W174" i="22"/>
  <c r="V174" i="22"/>
  <c r="U174" i="22"/>
  <c r="T174" i="22"/>
  <c r="S174" i="22"/>
  <c r="Q174" i="22"/>
  <c r="O174" i="22"/>
  <c r="M174" i="22"/>
  <c r="K174" i="22"/>
  <c r="X173" i="22"/>
  <c r="W173" i="22"/>
  <c r="V173" i="22"/>
  <c r="U173" i="22"/>
  <c r="T173" i="22"/>
  <c r="S173" i="22"/>
  <c r="Q173" i="22"/>
  <c r="O173" i="22"/>
  <c r="M173" i="22"/>
  <c r="K173" i="22"/>
  <c r="X172" i="22"/>
  <c r="W172" i="22"/>
  <c r="V172" i="22"/>
  <c r="U172" i="22"/>
  <c r="T172" i="22"/>
  <c r="S172" i="22"/>
  <c r="Q172" i="22"/>
  <c r="O172" i="22"/>
  <c r="M172" i="22"/>
  <c r="K172" i="22"/>
  <c r="X171" i="22"/>
  <c r="W171" i="22"/>
  <c r="V171" i="22"/>
  <c r="U171" i="22"/>
  <c r="T171" i="22"/>
  <c r="S171" i="22"/>
  <c r="Q171" i="22"/>
  <c r="O171" i="22"/>
  <c r="M171" i="22"/>
  <c r="K171" i="22"/>
  <c r="X170" i="22"/>
  <c r="W170" i="22"/>
  <c r="V170" i="22"/>
  <c r="U170" i="22"/>
  <c r="T170" i="22"/>
  <c r="S170" i="22"/>
  <c r="Q170" i="22"/>
  <c r="O170" i="22"/>
  <c r="M170" i="22"/>
  <c r="K170" i="22"/>
  <c r="X169" i="22"/>
  <c r="W169" i="22"/>
  <c r="V169" i="22"/>
  <c r="U169" i="22"/>
  <c r="T169" i="22"/>
  <c r="S169" i="22"/>
  <c r="Q169" i="22"/>
  <c r="O169" i="22"/>
  <c r="M169" i="22"/>
  <c r="K169" i="22"/>
  <c r="X168" i="22"/>
  <c r="W168" i="22"/>
  <c r="V168" i="22"/>
  <c r="U168" i="22"/>
  <c r="T168" i="22"/>
  <c r="S168" i="22"/>
  <c r="Q168" i="22"/>
  <c r="O168" i="22"/>
  <c r="M168" i="22"/>
  <c r="K168" i="22"/>
  <c r="X167" i="22"/>
  <c r="W167" i="22"/>
  <c r="V167" i="22"/>
  <c r="U167" i="22"/>
  <c r="T167" i="22"/>
  <c r="S167" i="22"/>
  <c r="Q167" i="22"/>
  <c r="O167" i="22"/>
  <c r="M167" i="22"/>
  <c r="K167" i="22"/>
  <c r="X166" i="22"/>
  <c r="W166" i="22"/>
  <c r="V166" i="22"/>
  <c r="U166" i="22"/>
  <c r="T166" i="22"/>
  <c r="S166" i="22"/>
  <c r="Q166" i="22"/>
  <c r="O166" i="22"/>
  <c r="M166" i="22"/>
  <c r="K166" i="22"/>
  <c r="X165" i="22"/>
  <c r="W165" i="22"/>
  <c r="V165" i="22"/>
  <c r="U165" i="22"/>
  <c r="T165" i="22"/>
  <c r="S165" i="22"/>
  <c r="Q165" i="22"/>
  <c r="O165" i="22"/>
  <c r="M165" i="22"/>
  <c r="K165" i="22"/>
  <c r="X164" i="22"/>
  <c r="W164" i="22"/>
  <c r="V164" i="22"/>
  <c r="U164" i="22"/>
  <c r="T164" i="22"/>
  <c r="S164" i="22"/>
  <c r="Q164" i="22"/>
  <c r="O164" i="22"/>
  <c r="M164" i="22"/>
  <c r="K164" i="22"/>
  <c r="X163" i="22"/>
  <c r="W163" i="22"/>
  <c r="V163" i="22"/>
  <c r="U163" i="22"/>
  <c r="T163" i="22"/>
  <c r="S163" i="22"/>
  <c r="Q163" i="22"/>
  <c r="O163" i="22"/>
  <c r="M163" i="22"/>
  <c r="K163" i="22"/>
  <c r="X162" i="22"/>
  <c r="W162" i="22"/>
  <c r="V162" i="22"/>
  <c r="U162" i="22"/>
  <c r="T162" i="22"/>
  <c r="S162" i="22"/>
  <c r="Q162" i="22"/>
  <c r="O162" i="22"/>
  <c r="M162" i="22"/>
  <c r="K162" i="22"/>
  <c r="X161" i="22"/>
  <c r="W161" i="22"/>
  <c r="V161" i="22"/>
  <c r="U161" i="22"/>
  <c r="T161" i="22"/>
  <c r="S161" i="22"/>
  <c r="Q161" i="22"/>
  <c r="O161" i="22"/>
  <c r="M161" i="22"/>
  <c r="K161" i="22"/>
  <c r="X160" i="22"/>
  <c r="W160" i="22"/>
  <c r="V160" i="22"/>
  <c r="U160" i="22"/>
  <c r="T160" i="22"/>
  <c r="S160" i="22"/>
  <c r="Q160" i="22"/>
  <c r="O160" i="22"/>
  <c r="M160" i="22"/>
  <c r="K160" i="22"/>
  <c r="X159" i="22"/>
  <c r="W159" i="22"/>
  <c r="V159" i="22"/>
  <c r="U159" i="22"/>
  <c r="T159" i="22"/>
  <c r="S159" i="22"/>
  <c r="Q159" i="22"/>
  <c r="O159" i="22"/>
  <c r="M159" i="22"/>
  <c r="K159" i="22"/>
  <c r="X158" i="22"/>
  <c r="W158" i="22"/>
  <c r="V158" i="22"/>
  <c r="U158" i="22"/>
  <c r="T158" i="22"/>
  <c r="S158" i="22"/>
  <c r="Q158" i="22"/>
  <c r="O158" i="22"/>
  <c r="M158" i="22"/>
  <c r="K158" i="22"/>
  <c r="X157" i="22"/>
  <c r="W157" i="22"/>
  <c r="V157" i="22"/>
  <c r="U157" i="22"/>
  <c r="T157" i="22"/>
  <c r="S157" i="22"/>
  <c r="Q157" i="22"/>
  <c r="O157" i="22"/>
  <c r="M157" i="22"/>
  <c r="K157" i="22"/>
  <c r="X156" i="22"/>
  <c r="W156" i="22"/>
  <c r="V156" i="22"/>
  <c r="U156" i="22"/>
  <c r="T156" i="22"/>
  <c r="S156" i="22"/>
  <c r="Q156" i="22"/>
  <c r="O156" i="22"/>
  <c r="M156" i="22"/>
  <c r="K156" i="22"/>
  <c r="X155" i="22"/>
  <c r="W155" i="22"/>
  <c r="V155" i="22"/>
  <c r="U155" i="22"/>
  <c r="T155" i="22"/>
  <c r="S155" i="22"/>
  <c r="Q155" i="22"/>
  <c r="O155" i="22"/>
  <c r="M155" i="22"/>
  <c r="K155" i="22"/>
  <c r="X154" i="22"/>
  <c r="W154" i="22"/>
  <c r="V154" i="22"/>
  <c r="U154" i="22"/>
  <c r="T154" i="22"/>
  <c r="S154" i="22"/>
  <c r="Q154" i="22"/>
  <c r="O154" i="22"/>
  <c r="M154" i="22"/>
  <c r="K154" i="22"/>
  <c r="X153" i="22"/>
  <c r="W153" i="22"/>
  <c r="V153" i="22"/>
  <c r="U153" i="22"/>
  <c r="T153" i="22"/>
  <c r="S153" i="22"/>
  <c r="Q153" i="22"/>
  <c r="O153" i="22"/>
  <c r="M153" i="22"/>
  <c r="K153" i="22"/>
  <c r="X152" i="22"/>
  <c r="W152" i="22"/>
  <c r="V152" i="22"/>
  <c r="U152" i="22"/>
  <c r="T152" i="22"/>
  <c r="S152" i="22"/>
  <c r="Q152" i="22"/>
  <c r="O152" i="22"/>
  <c r="M152" i="22"/>
  <c r="K152" i="22"/>
  <c r="X151" i="22"/>
  <c r="W151" i="22"/>
  <c r="V151" i="22"/>
  <c r="U151" i="22"/>
  <c r="T151" i="22"/>
  <c r="S151" i="22"/>
  <c r="Q151" i="22"/>
  <c r="O151" i="22"/>
  <c r="M151" i="22"/>
  <c r="K151" i="22"/>
  <c r="X150" i="22"/>
  <c r="W150" i="22"/>
  <c r="V150" i="22"/>
  <c r="U150" i="22"/>
  <c r="T150" i="22"/>
  <c r="S150" i="22"/>
  <c r="Q150" i="22"/>
  <c r="O150" i="22"/>
  <c r="M150" i="22"/>
  <c r="K150" i="22"/>
  <c r="X149" i="22"/>
  <c r="W149" i="22"/>
  <c r="V149" i="22"/>
  <c r="U149" i="22"/>
  <c r="T149" i="22"/>
  <c r="S149" i="22"/>
  <c r="Q149" i="22"/>
  <c r="O149" i="22"/>
  <c r="M149" i="22"/>
  <c r="K149" i="22"/>
  <c r="X148" i="22"/>
  <c r="W148" i="22"/>
  <c r="V148" i="22"/>
  <c r="U148" i="22"/>
  <c r="T148" i="22"/>
  <c r="S148" i="22"/>
  <c r="Q148" i="22"/>
  <c r="O148" i="22"/>
  <c r="M148" i="22"/>
  <c r="K148" i="22"/>
  <c r="X147" i="22"/>
  <c r="W147" i="22"/>
  <c r="V147" i="22"/>
  <c r="U147" i="22"/>
  <c r="T147" i="22"/>
  <c r="S147" i="22"/>
  <c r="Q147" i="22"/>
  <c r="O147" i="22"/>
  <c r="M147" i="22"/>
  <c r="K147" i="22"/>
  <c r="X146" i="22"/>
  <c r="W146" i="22"/>
  <c r="V146" i="22"/>
  <c r="U146" i="22"/>
  <c r="T146" i="22"/>
  <c r="S146" i="22"/>
  <c r="Q146" i="22"/>
  <c r="O146" i="22"/>
  <c r="M146" i="22"/>
  <c r="K146" i="22"/>
  <c r="X145" i="22"/>
  <c r="W145" i="22"/>
  <c r="V145" i="22"/>
  <c r="U145" i="22"/>
  <c r="T145" i="22"/>
  <c r="S145" i="22"/>
  <c r="Q145" i="22"/>
  <c r="O145" i="22"/>
  <c r="M145" i="22"/>
  <c r="K145" i="22"/>
  <c r="X144" i="22"/>
  <c r="W144" i="22"/>
  <c r="V144" i="22"/>
  <c r="U144" i="22"/>
  <c r="T144" i="22"/>
  <c r="S144" i="22"/>
  <c r="Q144" i="22"/>
  <c r="O144" i="22"/>
  <c r="M144" i="22"/>
  <c r="K144" i="22"/>
  <c r="X143" i="22"/>
  <c r="W143" i="22"/>
  <c r="V143" i="22"/>
  <c r="U143" i="22"/>
  <c r="T143" i="22"/>
  <c r="S143" i="22"/>
  <c r="Q143" i="22"/>
  <c r="O143" i="22"/>
  <c r="M143" i="22"/>
  <c r="K143" i="22"/>
  <c r="X142" i="22"/>
  <c r="W142" i="22"/>
  <c r="V142" i="22"/>
  <c r="U142" i="22"/>
  <c r="T142" i="22"/>
  <c r="S142" i="22"/>
  <c r="Q142" i="22"/>
  <c r="O142" i="22"/>
  <c r="M142" i="22"/>
  <c r="K142" i="22"/>
  <c r="X141" i="22"/>
  <c r="W141" i="22"/>
  <c r="V141" i="22"/>
  <c r="U141" i="22"/>
  <c r="T141" i="22"/>
  <c r="S141" i="22"/>
  <c r="Q141" i="22"/>
  <c r="O141" i="22"/>
  <c r="M141" i="22"/>
  <c r="K141" i="22"/>
  <c r="X140" i="22"/>
  <c r="W140" i="22"/>
  <c r="V140" i="22"/>
  <c r="U140" i="22"/>
  <c r="T140" i="22"/>
  <c r="S140" i="22"/>
  <c r="Q140" i="22"/>
  <c r="O140" i="22"/>
  <c r="M140" i="22"/>
  <c r="K140" i="22"/>
  <c r="X139" i="22"/>
  <c r="W139" i="22"/>
  <c r="V139" i="22"/>
  <c r="U139" i="22"/>
  <c r="T139" i="22"/>
  <c r="S139" i="22"/>
  <c r="Q139" i="22"/>
  <c r="O139" i="22"/>
  <c r="M139" i="22"/>
  <c r="K139" i="22"/>
  <c r="X138" i="22"/>
  <c r="W138" i="22"/>
  <c r="V138" i="22"/>
  <c r="U138" i="22"/>
  <c r="T138" i="22"/>
  <c r="S138" i="22"/>
  <c r="Q138" i="22"/>
  <c r="O138" i="22"/>
  <c r="M138" i="22"/>
  <c r="K138" i="22"/>
  <c r="X137" i="22"/>
  <c r="W137" i="22"/>
  <c r="V137" i="22"/>
  <c r="U137" i="22"/>
  <c r="T137" i="22"/>
  <c r="S137" i="22"/>
  <c r="Q137" i="22"/>
  <c r="O137" i="22"/>
  <c r="M137" i="22"/>
  <c r="K137" i="22"/>
  <c r="X136" i="22"/>
  <c r="W136" i="22"/>
  <c r="V136" i="22"/>
  <c r="U136" i="22"/>
  <c r="T136" i="22"/>
  <c r="S136" i="22"/>
  <c r="Q136" i="22"/>
  <c r="O136" i="22"/>
  <c r="M136" i="22"/>
  <c r="K136" i="22"/>
  <c r="X135" i="22"/>
  <c r="W135" i="22"/>
  <c r="V135" i="22"/>
  <c r="U135" i="22"/>
  <c r="T135" i="22"/>
  <c r="S135" i="22"/>
  <c r="Q135" i="22"/>
  <c r="O135" i="22"/>
  <c r="M135" i="22"/>
  <c r="K135" i="22"/>
  <c r="X134" i="22"/>
  <c r="W134" i="22"/>
  <c r="V134" i="22"/>
  <c r="U134" i="22"/>
  <c r="T134" i="22"/>
  <c r="S134" i="22"/>
  <c r="Q134" i="22"/>
  <c r="O134" i="22"/>
  <c r="M134" i="22"/>
  <c r="K134" i="22"/>
  <c r="X133" i="22"/>
  <c r="W133" i="22"/>
  <c r="V133" i="22"/>
  <c r="U133" i="22"/>
  <c r="T133" i="22"/>
  <c r="S133" i="22"/>
  <c r="Q133" i="22"/>
  <c r="O133" i="22"/>
  <c r="M133" i="22"/>
  <c r="K133" i="22"/>
  <c r="X132" i="22"/>
  <c r="W132" i="22"/>
  <c r="V132" i="22"/>
  <c r="U132" i="22"/>
  <c r="T132" i="22"/>
  <c r="S132" i="22"/>
  <c r="Q132" i="22"/>
  <c r="O132" i="22"/>
  <c r="M132" i="22"/>
  <c r="K132" i="22"/>
  <c r="X131" i="22"/>
  <c r="W131" i="22"/>
  <c r="V131" i="22"/>
  <c r="U131" i="22"/>
  <c r="T131" i="22"/>
  <c r="S131" i="22"/>
  <c r="Q131" i="22"/>
  <c r="O131" i="22"/>
  <c r="M131" i="22"/>
  <c r="K131" i="22"/>
  <c r="X130" i="22"/>
  <c r="W130" i="22"/>
  <c r="V130" i="22"/>
  <c r="U130" i="22"/>
  <c r="T130" i="22"/>
  <c r="S130" i="22"/>
  <c r="Q130" i="22"/>
  <c r="O130" i="22"/>
  <c r="M130" i="22"/>
  <c r="K130" i="22"/>
  <c r="X129" i="22"/>
  <c r="W129" i="22"/>
  <c r="V129" i="22"/>
  <c r="U129" i="22"/>
  <c r="T129" i="22"/>
  <c r="S129" i="22"/>
  <c r="Q129" i="22"/>
  <c r="O129" i="22"/>
  <c r="M129" i="22"/>
  <c r="K129" i="22"/>
  <c r="X128" i="22"/>
  <c r="W128" i="22"/>
  <c r="V128" i="22"/>
  <c r="U128" i="22"/>
  <c r="T128" i="22"/>
  <c r="S128" i="22"/>
  <c r="Q128" i="22"/>
  <c r="O128" i="22"/>
  <c r="M128" i="22"/>
  <c r="K128" i="22"/>
  <c r="X127" i="22"/>
  <c r="W127" i="22"/>
  <c r="V127" i="22"/>
  <c r="U127" i="22"/>
  <c r="T127" i="22"/>
  <c r="S127" i="22"/>
  <c r="Q127" i="22"/>
  <c r="O127" i="22"/>
  <c r="M127" i="22"/>
  <c r="K127" i="22"/>
  <c r="X126" i="22"/>
  <c r="W126" i="22"/>
  <c r="V126" i="22"/>
  <c r="U126" i="22"/>
  <c r="T126" i="22"/>
  <c r="S126" i="22"/>
  <c r="Q126" i="22"/>
  <c r="O126" i="22"/>
  <c r="M126" i="22"/>
  <c r="K126" i="22"/>
  <c r="X125" i="22"/>
  <c r="W125" i="22"/>
  <c r="V125" i="22"/>
  <c r="U125" i="22"/>
  <c r="T125" i="22"/>
  <c r="S125" i="22"/>
  <c r="Q125" i="22"/>
  <c r="O125" i="22"/>
  <c r="M125" i="22"/>
  <c r="K125" i="22"/>
  <c r="X124" i="22"/>
  <c r="W124" i="22"/>
  <c r="V124" i="22"/>
  <c r="U124" i="22"/>
  <c r="T124" i="22"/>
  <c r="S124" i="22"/>
  <c r="Q124" i="22"/>
  <c r="O124" i="22"/>
  <c r="M124" i="22"/>
  <c r="K124" i="22"/>
  <c r="X123" i="22"/>
  <c r="W123" i="22"/>
  <c r="V123" i="22"/>
  <c r="U123" i="22"/>
  <c r="T123" i="22"/>
  <c r="S123" i="22"/>
  <c r="Q123" i="22"/>
  <c r="O123" i="22"/>
  <c r="M123" i="22"/>
  <c r="K123" i="22"/>
  <c r="X122" i="22"/>
  <c r="W122" i="22"/>
  <c r="V122" i="22"/>
  <c r="U122" i="22"/>
  <c r="T122" i="22"/>
  <c r="S122" i="22"/>
  <c r="Q122" i="22"/>
  <c r="O122" i="22"/>
  <c r="M122" i="22"/>
  <c r="K122" i="22"/>
  <c r="X121" i="22"/>
  <c r="W121" i="22"/>
  <c r="V121" i="22"/>
  <c r="U121" i="22"/>
  <c r="T121" i="22"/>
  <c r="S121" i="22"/>
  <c r="Q121" i="22"/>
  <c r="O121" i="22"/>
  <c r="M121" i="22"/>
  <c r="K121" i="22"/>
  <c r="X120" i="22"/>
  <c r="W120" i="22"/>
  <c r="V120" i="22"/>
  <c r="U120" i="22"/>
  <c r="T120" i="22"/>
  <c r="S120" i="22"/>
  <c r="Q120" i="22"/>
  <c r="O120" i="22"/>
  <c r="M120" i="22"/>
  <c r="K120" i="22"/>
  <c r="X119" i="22"/>
  <c r="W119" i="22"/>
  <c r="V119" i="22"/>
  <c r="U119" i="22"/>
  <c r="T119" i="22"/>
  <c r="S119" i="22"/>
  <c r="Q119" i="22"/>
  <c r="O119" i="22"/>
  <c r="M119" i="22"/>
  <c r="K119" i="22"/>
  <c r="X118" i="22"/>
  <c r="W118" i="22"/>
  <c r="V118" i="22"/>
  <c r="U118" i="22"/>
  <c r="T118" i="22"/>
  <c r="S118" i="22"/>
  <c r="Q118" i="22"/>
  <c r="O118" i="22"/>
  <c r="M118" i="22"/>
  <c r="K118" i="22"/>
  <c r="X117" i="22"/>
  <c r="W117" i="22"/>
  <c r="V117" i="22"/>
  <c r="U117" i="22"/>
  <c r="T117" i="22"/>
  <c r="S117" i="22"/>
  <c r="Q117" i="22"/>
  <c r="O117" i="22"/>
  <c r="M117" i="22"/>
  <c r="K117" i="22"/>
  <c r="X116" i="22"/>
  <c r="W116" i="22"/>
  <c r="V116" i="22"/>
  <c r="U116" i="22"/>
  <c r="T116" i="22"/>
  <c r="S116" i="22"/>
  <c r="Q116" i="22"/>
  <c r="O116" i="22"/>
  <c r="M116" i="22"/>
  <c r="K116" i="22"/>
  <c r="X115" i="22"/>
  <c r="W115" i="22"/>
  <c r="V115" i="22"/>
  <c r="U115" i="22"/>
  <c r="T115" i="22"/>
  <c r="S115" i="22"/>
  <c r="Q115" i="22"/>
  <c r="O115" i="22"/>
  <c r="M115" i="22"/>
  <c r="K115" i="22"/>
  <c r="X114" i="22"/>
  <c r="W114" i="22"/>
  <c r="V114" i="22"/>
  <c r="U114" i="22"/>
  <c r="T114" i="22"/>
  <c r="S114" i="22"/>
  <c r="Q114" i="22"/>
  <c r="O114" i="22"/>
  <c r="M114" i="22"/>
  <c r="K114" i="22"/>
  <c r="X113" i="22"/>
  <c r="W113" i="22"/>
  <c r="V113" i="22"/>
  <c r="U113" i="22"/>
  <c r="T113" i="22"/>
  <c r="S113" i="22"/>
  <c r="Q113" i="22"/>
  <c r="O113" i="22"/>
  <c r="M113" i="22"/>
  <c r="K113" i="22"/>
  <c r="X112" i="22"/>
  <c r="W112" i="22"/>
  <c r="V112" i="22"/>
  <c r="U112" i="22"/>
  <c r="T112" i="22"/>
  <c r="S112" i="22"/>
  <c r="Q112" i="22"/>
  <c r="O112" i="22"/>
  <c r="M112" i="22"/>
  <c r="K112" i="22"/>
  <c r="X111" i="22"/>
  <c r="W111" i="22"/>
  <c r="V111" i="22"/>
  <c r="U111" i="22"/>
  <c r="T111" i="22"/>
  <c r="S111" i="22"/>
  <c r="Q111" i="22"/>
  <c r="O111" i="22"/>
  <c r="M111" i="22"/>
  <c r="K111" i="22"/>
  <c r="X110" i="22"/>
  <c r="W110" i="22"/>
  <c r="V110" i="22"/>
  <c r="U110" i="22"/>
  <c r="T110" i="22"/>
  <c r="S110" i="22"/>
  <c r="Q110" i="22"/>
  <c r="O110" i="22"/>
  <c r="M110" i="22"/>
  <c r="K110" i="22"/>
  <c r="X109" i="22"/>
  <c r="W109" i="22"/>
  <c r="V109" i="22"/>
  <c r="U109" i="22"/>
  <c r="T109" i="22"/>
  <c r="S109" i="22"/>
  <c r="Q109" i="22"/>
  <c r="O109" i="22"/>
  <c r="M109" i="22"/>
  <c r="K109" i="22"/>
  <c r="X108" i="22"/>
  <c r="W108" i="22"/>
  <c r="V108" i="22"/>
  <c r="U108" i="22"/>
  <c r="T108" i="22"/>
  <c r="S108" i="22"/>
  <c r="Q108" i="22"/>
  <c r="O108" i="22"/>
  <c r="M108" i="22"/>
  <c r="K108" i="22"/>
  <c r="X107" i="22"/>
  <c r="W107" i="22"/>
  <c r="V107" i="22"/>
  <c r="U107" i="22"/>
  <c r="T107" i="22"/>
  <c r="S107" i="22"/>
  <c r="Q107" i="22"/>
  <c r="O107" i="22"/>
  <c r="M107" i="22"/>
  <c r="K107" i="22"/>
  <c r="X106" i="22"/>
  <c r="W106" i="22"/>
  <c r="V106" i="22"/>
  <c r="U106" i="22"/>
  <c r="T106" i="22"/>
  <c r="S106" i="22"/>
  <c r="Q106" i="22"/>
  <c r="O106" i="22"/>
  <c r="M106" i="22"/>
  <c r="K106" i="22"/>
  <c r="X105" i="22"/>
  <c r="W105" i="22"/>
  <c r="V105" i="22"/>
  <c r="U105" i="22"/>
  <c r="T105" i="22"/>
  <c r="S105" i="22"/>
  <c r="Q105" i="22"/>
  <c r="O105" i="22"/>
  <c r="M105" i="22"/>
  <c r="K105" i="22"/>
  <c r="X104" i="22"/>
  <c r="W104" i="22"/>
  <c r="V104" i="22"/>
  <c r="U104" i="22"/>
  <c r="T104" i="22"/>
  <c r="S104" i="22"/>
  <c r="Q104" i="22"/>
  <c r="O104" i="22"/>
  <c r="M104" i="22"/>
  <c r="K104" i="22"/>
  <c r="X103" i="22"/>
  <c r="W103" i="22"/>
  <c r="V103" i="22"/>
  <c r="U103" i="22"/>
  <c r="T103" i="22"/>
  <c r="S103" i="22"/>
  <c r="Q103" i="22"/>
  <c r="O103" i="22"/>
  <c r="M103" i="22"/>
  <c r="K103" i="22"/>
  <c r="X102" i="22"/>
  <c r="W102" i="22"/>
  <c r="V102" i="22"/>
  <c r="U102" i="22"/>
  <c r="T102" i="22"/>
  <c r="S102" i="22"/>
  <c r="Q102" i="22"/>
  <c r="O102" i="22"/>
  <c r="M102" i="22"/>
  <c r="K102" i="22"/>
  <c r="X101" i="22"/>
  <c r="W101" i="22"/>
  <c r="V101" i="22"/>
  <c r="U101" i="22"/>
  <c r="T101" i="22"/>
  <c r="S101" i="22"/>
  <c r="Q101" i="22"/>
  <c r="O101" i="22"/>
  <c r="M101" i="22"/>
  <c r="K101" i="22"/>
  <c r="X100" i="22"/>
  <c r="W100" i="22"/>
  <c r="V100" i="22"/>
  <c r="U100" i="22"/>
  <c r="T100" i="22"/>
  <c r="S100" i="22"/>
  <c r="Q100" i="22"/>
  <c r="O100" i="22"/>
  <c r="M100" i="22"/>
  <c r="K100" i="22"/>
  <c r="X99" i="22"/>
  <c r="W99" i="22"/>
  <c r="V99" i="22"/>
  <c r="U99" i="22"/>
  <c r="T99" i="22"/>
  <c r="S99" i="22"/>
  <c r="Q99" i="22"/>
  <c r="O99" i="22"/>
  <c r="M99" i="22"/>
  <c r="K99" i="22"/>
  <c r="X98" i="22"/>
  <c r="W98" i="22"/>
  <c r="V98" i="22"/>
  <c r="U98" i="22"/>
  <c r="T98" i="22"/>
  <c r="S98" i="22"/>
  <c r="Q98" i="22"/>
  <c r="O98" i="22"/>
  <c r="M98" i="22"/>
  <c r="K98" i="22"/>
  <c r="X97" i="22"/>
  <c r="W97" i="22"/>
  <c r="V97" i="22"/>
  <c r="U97" i="22"/>
  <c r="T97" i="22"/>
  <c r="S97" i="22"/>
  <c r="Q97" i="22"/>
  <c r="O97" i="22"/>
  <c r="M97" i="22"/>
  <c r="K97" i="22"/>
  <c r="X96" i="22"/>
  <c r="W96" i="22"/>
  <c r="V96" i="22"/>
  <c r="U96" i="22"/>
  <c r="T96" i="22"/>
  <c r="S96" i="22"/>
  <c r="Q96" i="22"/>
  <c r="O96" i="22"/>
  <c r="M96" i="22"/>
  <c r="K96" i="22"/>
  <c r="X95" i="22"/>
  <c r="W95" i="22"/>
  <c r="V95" i="22"/>
  <c r="U95" i="22"/>
  <c r="T95" i="22"/>
  <c r="S95" i="22"/>
  <c r="Q95" i="22"/>
  <c r="O95" i="22"/>
  <c r="M95" i="22"/>
  <c r="K95" i="22"/>
  <c r="X94" i="22"/>
  <c r="W94" i="22"/>
  <c r="V94" i="22"/>
  <c r="U94" i="22"/>
  <c r="T94" i="22"/>
  <c r="S94" i="22"/>
  <c r="Q94" i="22"/>
  <c r="O94" i="22"/>
  <c r="M94" i="22"/>
  <c r="K94" i="22"/>
  <c r="X93" i="22"/>
  <c r="W93" i="22"/>
  <c r="V93" i="22"/>
  <c r="U93" i="22"/>
  <c r="T93" i="22"/>
  <c r="S93" i="22"/>
  <c r="Q93" i="22"/>
  <c r="O93" i="22"/>
  <c r="M93" i="22"/>
  <c r="K93" i="22"/>
  <c r="X92" i="22"/>
  <c r="W92" i="22"/>
  <c r="V92" i="22"/>
  <c r="U92" i="22"/>
  <c r="T92" i="22"/>
  <c r="S92" i="22"/>
  <c r="Q92" i="22"/>
  <c r="O92" i="22"/>
  <c r="M92" i="22"/>
  <c r="K92" i="22"/>
  <c r="X91" i="22"/>
  <c r="W91" i="22"/>
  <c r="V91" i="22"/>
  <c r="U91" i="22"/>
  <c r="T91" i="22"/>
  <c r="S91" i="22"/>
  <c r="Q91" i="22"/>
  <c r="O91" i="22"/>
  <c r="M91" i="22"/>
  <c r="K91" i="22"/>
  <c r="X90" i="22"/>
  <c r="W90" i="22"/>
  <c r="V90" i="22"/>
  <c r="U90" i="22"/>
  <c r="T90" i="22"/>
  <c r="S90" i="22"/>
  <c r="Q90" i="22"/>
  <c r="O90" i="22"/>
  <c r="M90" i="22"/>
  <c r="K90" i="22"/>
  <c r="X89" i="22"/>
  <c r="W89" i="22"/>
  <c r="V89" i="22"/>
  <c r="U89" i="22"/>
  <c r="T89" i="22"/>
  <c r="S89" i="22"/>
  <c r="Q89" i="22"/>
  <c r="O89" i="22"/>
  <c r="M89" i="22"/>
  <c r="K89" i="22"/>
  <c r="X88" i="22"/>
  <c r="W88" i="22"/>
  <c r="V88" i="22"/>
  <c r="U88" i="22"/>
  <c r="T88" i="22"/>
  <c r="S88" i="22"/>
  <c r="Q88" i="22"/>
  <c r="O88" i="22"/>
  <c r="M88" i="22"/>
  <c r="K88" i="22"/>
  <c r="X87" i="22"/>
  <c r="W87" i="22"/>
  <c r="V87" i="22"/>
  <c r="U87" i="22"/>
  <c r="T87" i="22"/>
  <c r="S87" i="22"/>
  <c r="Q87" i="22"/>
  <c r="O87" i="22"/>
  <c r="M87" i="22"/>
  <c r="K87" i="22"/>
  <c r="X86" i="22"/>
  <c r="W86" i="22"/>
  <c r="V86" i="22"/>
  <c r="U86" i="22"/>
  <c r="T86" i="22"/>
  <c r="S86" i="22"/>
  <c r="Q86" i="22"/>
  <c r="O86" i="22"/>
  <c r="M86" i="22"/>
  <c r="K86" i="22"/>
  <c r="X85" i="22"/>
  <c r="W85" i="22"/>
  <c r="V85" i="22"/>
  <c r="U85" i="22"/>
  <c r="T85" i="22"/>
  <c r="S85" i="22"/>
  <c r="Q85" i="22"/>
  <c r="O85" i="22"/>
  <c r="M85" i="22"/>
  <c r="K85" i="22"/>
  <c r="X84" i="22"/>
  <c r="W84" i="22"/>
  <c r="V84" i="22"/>
  <c r="U84" i="22"/>
  <c r="T84" i="22"/>
  <c r="S84" i="22"/>
  <c r="Q84" i="22"/>
  <c r="O84" i="22"/>
  <c r="M84" i="22"/>
  <c r="K84" i="22"/>
  <c r="X83" i="22"/>
  <c r="W83" i="22"/>
  <c r="V83" i="22"/>
  <c r="U83" i="22"/>
  <c r="T83" i="22"/>
  <c r="S83" i="22"/>
  <c r="Q83" i="22"/>
  <c r="O83" i="22"/>
  <c r="M83" i="22"/>
  <c r="K83" i="22"/>
  <c r="X82" i="22"/>
  <c r="W82" i="22"/>
  <c r="V82" i="22"/>
  <c r="U82" i="22"/>
  <c r="T82" i="22"/>
  <c r="S82" i="22"/>
  <c r="Q82" i="22"/>
  <c r="O82" i="22"/>
  <c r="M82" i="22"/>
  <c r="K82" i="22"/>
  <c r="X81" i="22"/>
  <c r="W81" i="22"/>
  <c r="V81" i="22"/>
  <c r="U81" i="22"/>
  <c r="T81" i="22"/>
  <c r="S81" i="22"/>
  <c r="Q81" i="22"/>
  <c r="O81" i="22"/>
  <c r="M81" i="22"/>
  <c r="K81" i="22"/>
  <c r="X80" i="22"/>
  <c r="W80" i="22"/>
  <c r="V80" i="22"/>
  <c r="U80" i="22"/>
  <c r="T80" i="22"/>
  <c r="S80" i="22"/>
  <c r="Q80" i="22"/>
  <c r="O80" i="22"/>
  <c r="M80" i="22"/>
  <c r="K80" i="22"/>
  <c r="X79" i="22"/>
  <c r="W79" i="22"/>
  <c r="V79" i="22"/>
  <c r="U79" i="22"/>
  <c r="T79" i="22"/>
  <c r="S79" i="22"/>
  <c r="Q79" i="22"/>
  <c r="O79" i="22"/>
  <c r="M79" i="22"/>
  <c r="K79" i="22"/>
  <c r="X78" i="22"/>
  <c r="W78" i="22"/>
  <c r="V78" i="22"/>
  <c r="U78" i="22"/>
  <c r="T78" i="22"/>
  <c r="S78" i="22"/>
  <c r="Q78" i="22"/>
  <c r="O78" i="22"/>
  <c r="M78" i="22"/>
  <c r="K78" i="22"/>
  <c r="X77" i="22"/>
  <c r="W77" i="22"/>
  <c r="V77" i="22"/>
  <c r="U77" i="22"/>
  <c r="T77" i="22"/>
  <c r="S77" i="22"/>
  <c r="Q77" i="22"/>
  <c r="O77" i="22"/>
  <c r="M77" i="22"/>
  <c r="K77" i="22"/>
  <c r="X76" i="22"/>
  <c r="W76" i="22"/>
  <c r="V76" i="22"/>
  <c r="U76" i="22"/>
  <c r="T76" i="22"/>
  <c r="S76" i="22"/>
  <c r="Q76" i="22"/>
  <c r="O76" i="22"/>
  <c r="M76" i="22"/>
  <c r="K76" i="22"/>
  <c r="X75" i="22"/>
  <c r="W75" i="22"/>
  <c r="V75" i="22"/>
  <c r="U75" i="22"/>
  <c r="T75" i="22"/>
  <c r="S75" i="22"/>
  <c r="Q75" i="22"/>
  <c r="O75" i="22"/>
  <c r="M75" i="22"/>
  <c r="K75" i="22"/>
  <c r="X74" i="22"/>
  <c r="W74" i="22"/>
  <c r="V74" i="22"/>
  <c r="U74" i="22"/>
  <c r="T74" i="22"/>
  <c r="S74" i="22"/>
  <c r="Q74" i="22"/>
  <c r="O74" i="22"/>
  <c r="M74" i="22"/>
  <c r="K74" i="22"/>
  <c r="X73" i="22"/>
  <c r="W73" i="22"/>
  <c r="V73" i="22"/>
  <c r="U73" i="22"/>
  <c r="T73" i="22"/>
  <c r="S73" i="22"/>
  <c r="Q73" i="22"/>
  <c r="O73" i="22"/>
  <c r="M73" i="22"/>
  <c r="K73" i="22"/>
  <c r="X72" i="22"/>
  <c r="W72" i="22"/>
  <c r="V72" i="22"/>
  <c r="U72" i="22"/>
  <c r="T72" i="22"/>
  <c r="S72" i="22"/>
  <c r="Q72" i="22"/>
  <c r="O72" i="22"/>
  <c r="M72" i="22"/>
  <c r="K72" i="22"/>
  <c r="X71" i="22"/>
  <c r="W71" i="22"/>
  <c r="V71" i="22"/>
  <c r="U71" i="22"/>
  <c r="T71" i="22"/>
  <c r="S71" i="22"/>
  <c r="Q71" i="22"/>
  <c r="O71" i="22"/>
  <c r="M71" i="22"/>
  <c r="K71" i="22"/>
  <c r="X70" i="22"/>
  <c r="W70" i="22"/>
  <c r="V70" i="22"/>
  <c r="U70" i="22"/>
  <c r="T70" i="22"/>
  <c r="S70" i="22"/>
  <c r="Q70" i="22"/>
  <c r="O70" i="22"/>
  <c r="M70" i="22"/>
  <c r="K70" i="22"/>
  <c r="X69" i="22"/>
  <c r="W69" i="22"/>
  <c r="V69" i="22"/>
  <c r="U69" i="22"/>
  <c r="T69" i="22"/>
  <c r="S69" i="22"/>
  <c r="Q69" i="22"/>
  <c r="O69" i="22"/>
  <c r="M69" i="22"/>
  <c r="K69" i="22"/>
  <c r="X68" i="22"/>
  <c r="W68" i="22"/>
  <c r="V68" i="22"/>
  <c r="U68" i="22"/>
  <c r="T68" i="22"/>
  <c r="S68" i="22"/>
  <c r="Q68" i="22"/>
  <c r="O68" i="22"/>
  <c r="M68" i="22"/>
  <c r="K68" i="22"/>
  <c r="X67" i="22"/>
  <c r="W67" i="22"/>
  <c r="V67" i="22"/>
  <c r="U67" i="22"/>
  <c r="T67" i="22"/>
  <c r="S67" i="22"/>
  <c r="Q67" i="22"/>
  <c r="O67" i="22"/>
  <c r="M67" i="22"/>
  <c r="K67" i="22"/>
  <c r="X66" i="22"/>
  <c r="W66" i="22"/>
  <c r="V66" i="22"/>
  <c r="U66" i="22"/>
  <c r="T66" i="22"/>
  <c r="S66" i="22"/>
  <c r="Q66" i="22"/>
  <c r="O66" i="22"/>
  <c r="M66" i="22"/>
  <c r="K66" i="22"/>
  <c r="X65" i="22"/>
  <c r="W65" i="22"/>
  <c r="V65" i="22"/>
  <c r="U65" i="22"/>
  <c r="T65" i="22"/>
  <c r="S65" i="22"/>
  <c r="Q65" i="22"/>
  <c r="O65" i="22"/>
  <c r="M65" i="22"/>
  <c r="K65" i="22"/>
  <c r="X64" i="22"/>
  <c r="W64" i="22"/>
  <c r="V64" i="22"/>
  <c r="U64" i="22"/>
  <c r="T64" i="22"/>
  <c r="S64" i="22"/>
  <c r="Q64" i="22"/>
  <c r="O64" i="22"/>
  <c r="M64" i="22"/>
  <c r="K64" i="22"/>
  <c r="X63" i="22"/>
  <c r="W63" i="22"/>
  <c r="V63" i="22"/>
  <c r="U63" i="22"/>
  <c r="T63" i="22"/>
  <c r="S63" i="22"/>
  <c r="Q63" i="22"/>
  <c r="O63" i="22"/>
  <c r="M63" i="22"/>
  <c r="K63" i="22"/>
  <c r="X62" i="22"/>
  <c r="W62" i="22"/>
  <c r="V62" i="22"/>
  <c r="U62" i="22"/>
  <c r="T62" i="22"/>
  <c r="S62" i="22"/>
  <c r="Q62" i="22"/>
  <c r="O62" i="22"/>
  <c r="M62" i="22"/>
  <c r="K62" i="22"/>
  <c r="X61" i="22"/>
  <c r="W61" i="22"/>
  <c r="V61" i="22"/>
  <c r="U61" i="22"/>
  <c r="T61" i="22"/>
  <c r="S61" i="22"/>
  <c r="Q61" i="22"/>
  <c r="O61" i="22"/>
  <c r="M61" i="22"/>
  <c r="K61" i="22"/>
  <c r="X60" i="22"/>
  <c r="W60" i="22"/>
  <c r="V60" i="22"/>
  <c r="U60" i="22"/>
  <c r="T60" i="22"/>
  <c r="S60" i="22"/>
  <c r="Q60" i="22"/>
  <c r="O60" i="22"/>
  <c r="M60" i="22"/>
  <c r="K60" i="22"/>
  <c r="X59" i="22"/>
  <c r="W59" i="22"/>
  <c r="V59" i="22"/>
  <c r="U59" i="22"/>
  <c r="T59" i="22"/>
  <c r="S59" i="22"/>
  <c r="Q59" i="22"/>
  <c r="O59" i="22"/>
  <c r="M59" i="22"/>
  <c r="K59" i="22"/>
  <c r="X58" i="22"/>
  <c r="W58" i="22"/>
  <c r="V58" i="22"/>
  <c r="U58" i="22"/>
  <c r="T58" i="22"/>
  <c r="S58" i="22"/>
  <c r="Q58" i="22"/>
  <c r="O58" i="22"/>
  <c r="M58" i="22"/>
  <c r="K58" i="22"/>
  <c r="X57" i="22"/>
  <c r="W57" i="22"/>
  <c r="V57" i="22"/>
  <c r="U57" i="22"/>
  <c r="T57" i="22"/>
  <c r="S57" i="22"/>
  <c r="Q57" i="22"/>
  <c r="O57" i="22"/>
  <c r="M57" i="22"/>
  <c r="K57" i="22"/>
  <c r="X56" i="22"/>
  <c r="W56" i="22"/>
  <c r="V56" i="22"/>
  <c r="U56" i="22"/>
  <c r="T56" i="22"/>
  <c r="S56" i="22"/>
  <c r="Q56" i="22"/>
  <c r="O56" i="22"/>
  <c r="M56" i="22"/>
  <c r="K56" i="22"/>
  <c r="X55" i="22"/>
  <c r="W55" i="22"/>
  <c r="V55" i="22"/>
  <c r="U55" i="22"/>
  <c r="T55" i="22"/>
  <c r="S55" i="22"/>
  <c r="Q55" i="22"/>
  <c r="O55" i="22"/>
  <c r="M55" i="22"/>
  <c r="K55" i="22"/>
  <c r="X54" i="22"/>
  <c r="W54" i="22"/>
  <c r="V54" i="22"/>
  <c r="U54" i="22"/>
  <c r="T54" i="22"/>
  <c r="S54" i="22"/>
  <c r="Q54" i="22"/>
  <c r="O54" i="22"/>
  <c r="M54" i="22"/>
  <c r="K54" i="22"/>
  <c r="X53" i="22"/>
  <c r="W53" i="22"/>
  <c r="V53" i="22"/>
  <c r="U53" i="22"/>
  <c r="T53" i="22"/>
  <c r="S53" i="22"/>
  <c r="Q53" i="22"/>
  <c r="O53" i="22"/>
  <c r="M53" i="22"/>
  <c r="K53" i="22"/>
  <c r="X52" i="22"/>
  <c r="W52" i="22"/>
  <c r="V52" i="22"/>
  <c r="U52" i="22"/>
  <c r="T52" i="22"/>
  <c r="S52" i="22"/>
  <c r="Q52" i="22"/>
  <c r="O52" i="22"/>
  <c r="M52" i="22"/>
  <c r="K52" i="22"/>
  <c r="X51" i="22"/>
  <c r="W51" i="22"/>
  <c r="V51" i="22"/>
  <c r="U51" i="22"/>
  <c r="T51" i="22"/>
  <c r="S51" i="22"/>
  <c r="Q51" i="22"/>
  <c r="O51" i="22"/>
  <c r="M51" i="22"/>
  <c r="K51" i="22"/>
  <c r="X50" i="22"/>
  <c r="W50" i="22"/>
  <c r="V50" i="22"/>
  <c r="U50" i="22"/>
  <c r="T50" i="22"/>
  <c r="S50" i="22"/>
  <c r="Q50" i="22"/>
  <c r="O50" i="22"/>
  <c r="M50" i="22"/>
  <c r="K50" i="22"/>
  <c r="X49" i="22"/>
  <c r="W49" i="22"/>
  <c r="V49" i="22"/>
  <c r="U49" i="22"/>
  <c r="T49" i="22"/>
  <c r="S49" i="22"/>
  <c r="Q49" i="22"/>
  <c r="O49" i="22"/>
  <c r="M49" i="22"/>
  <c r="K49" i="22"/>
  <c r="X48" i="22"/>
  <c r="W48" i="22"/>
  <c r="V48" i="22"/>
  <c r="U48" i="22"/>
  <c r="T48" i="22"/>
  <c r="S48" i="22"/>
  <c r="Q48" i="22"/>
  <c r="O48" i="22"/>
  <c r="M48" i="22"/>
  <c r="K48" i="22"/>
  <c r="X47" i="22"/>
  <c r="W47" i="22"/>
  <c r="V47" i="22"/>
  <c r="U47" i="22"/>
  <c r="T47" i="22"/>
  <c r="S47" i="22"/>
  <c r="Q47" i="22"/>
  <c r="O47" i="22"/>
  <c r="M47" i="22"/>
  <c r="K47" i="22"/>
  <c r="X46" i="22"/>
  <c r="W46" i="22"/>
  <c r="V46" i="22"/>
  <c r="U46" i="22"/>
  <c r="T46" i="22"/>
  <c r="S46" i="22"/>
  <c r="Q46" i="22"/>
  <c r="O46" i="22"/>
  <c r="M46" i="22"/>
  <c r="K46" i="22"/>
  <c r="X45" i="22"/>
  <c r="W45" i="22"/>
  <c r="V45" i="22"/>
  <c r="U45" i="22"/>
  <c r="T45" i="22"/>
  <c r="S45" i="22"/>
  <c r="Q45" i="22"/>
  <c r="O45" i="22"/>
  <c r="M45" i="22"/>
  <c r="K45" i="22"/>
  <c r="X44" i="22"/>
  <c r="W44" i="22"/>
  <c r="V44" i="22"/>
  <c r="U44" i="22"/>
  <c r="T44" i="22"/>
  <c r="S44" i="22"/>
  <c r="Q44" i="22"/>
  <c r="O44" i="22"/>
  <c r="M44" i="22"/>
  <c r="K44" i="22"/>
  <c r="X43" i="22"/>
  <c r="W43" i="22"/>
  <c r="V43" i="22"/>
  <c r="U43" i="22"/>
  <c r="T43" i="22"/>
  <c r="S43" i="22"/>
  <c r="Q43" i="22"/>
  <c r="O43" i="22"/>
  <c r="M43" i="22"/>
  <c r="K43" i="22"/>
  <c r="X42" i="22"/>
  <c r="W42" i="22"/>
  <c r="V42" i="22"/>
  <c r="U42" i="22"/>
  <c r="T42" i="22"/>
  <c r="S42" i="22"/>
  <c r="Q42" i="22"/>
  <c r="O42" i="22"/>
  <c r="M42" i="22"/>
  <c r="K42" i="22"/>
  <c r="X41" i="22"/>
  <c r="W41" i="22"/>
  <c r="V41" i="22"/>
  <c r="U41" i="22"/>
  <c r="T41" i="22"/>
  <c r="S41" i="22"/>
  <c r="Q41" i="22"/>
  <c r="O41" i="22"/>
  <c r="M41" i="22"/>
  <c r="K41" i="22"/>
  <c r="X40" i="22"/>
  <c r="W40" i="22"/>
  <c r="V40" i="22"/>
  <c r="U40" i="22"/>
  <c r="T40" i="22"/>
  <c r="S40" i="22"/>
  <c r="Q40" i="22"/>
  <c r="O40" i="22"/>
  <c r="M40" i="22"/>
  <c r="K40" i="22"/>
  <c r="X39" i="22"/>
  <c r="W39" i="22"/>
  <c r="V39" i="22"/>
  <c r="U39" i="22"/>
  <c r="T39" i="22"/>
  <c r="S39" i="22"/>
  <c r="Q39" i="22"/>
  <c r="O39" i="22"/>
  <c r="M39" i="22"/>
  <c r="K39" i="22"/>
  <c r="X38" i="22"/>
  <c r="W38" i="22"/>
  <c r="V38" i="22"/>
  <c r="U38" i="22"/>
  <c r="T38" i="22"/>
  <c r="S38" i="22"/>
  <c r="Q38" i="22"/>
  <c r="O38" i="22"/>
  <c r="M38" i="22"/>
  <c r="K38" i="22"/>
  <c r="X37" i="22"/>
  <c r="W37" i="22"/>
  <c r="V37" i="22"/>
  <c r="U37" i="22"/>
  <c r="T37" i="22"/>
  <c r="S37" i="22"/>
  <c r="Q37" i="22"/>
  <c r="O37" i="22"/>
  <c r="M37" i="22"/>
  <c r="K37" i="22"/>
  <c r="X36" i="22"/>
  <c r="W36" i="22"/>
  <c r="V36" i="22"/>
  <c r="U36" i="22"/>
  <c r="T36" i="22"/>
  <c r="S36" i="22"/>
  <c r="Q36" i="22"/>
  <c r="O36" i="22"/>
  <c r="M36" i="22"/>
  <c r="K36" i="22"/>
  <c r="X35" i="22"/>
  <c r="W35" i="22"/>
  <c r="V35" i="22"/>
  <c r="U35" i="22"/>
  <c r="T35" i="22"/>
  <c r="S35" i="22"/>
  <c r="Q35" i="22"/>
  <c r="O35" i="22"/>
  <c r="M35" i="22"/>
  <c r="K35" i="22"/>
  <c r="X34" i="22"/>
  <c r="W34" i="22"/>
  <c r="V34" i="22"/>
  <c r="U34" i="22"/>
  <c r="T34" i="22"/>
  <c r="S34" i="22"/>
  <c r="Q34" i="22"/>
  <c r="O34" i="22"/>
  <c r="M34" i="22"/>
  <c r="K34" i="22"/>
  <c r="X33" i="22"/>
  <c r="W33" i="22"/>
  <c r="V33" i="22"/>
  <c r="U33" i="22"/>
  <c r="T33" i="22"/>
  <c r="S33" i="22"/>
  <c r="Q33" i="22"/>
  <c r="O33" i="22"/>
  <c r="M33" i="22"/>
  <c r="K33" i="22"/>
  <c r="X32" i="22"/>
  <c r="W32" i="22"/>
  <c r="V32" i="22"/>
  <c r="U32" i="22"/>
  <c r="T32" i="22"/>
  <c r="S32" i="22"/>
  <c r="Q32" i="22"/>
  <c r="O32" i="22"/>
  <c r="M32" i="22"/>
  <c r="K32" i="22"/>
  <c r="X31" i="22"/>
  <c r="W31" i="22"/>
  <c r="V31" i="22"/>
  <c r="U31" i="22"/>
  <c r="T31" i="22"/>
  <c r="S31" i="22"/>
  <c r="Q31" i="22"/>
  <c r="O31" i="22"/>
  <c r="M31" i="22"/>
  <c r="K31" i="22"/>
  <c r="X30" i="22"/>
  <c r="W30" i="22"/>
  <c r="V30" i="22"/>
  <c r="U30" i="22"/>
  <c r="T30" i="22"/>
  <c r="S30" i="22"/>
  <c r="Q30" i="22"/>
  <c r="O30" i="22"/>
  <c r="M30" i="22"/>
  <c r="K30" i="22"/>
  <c r="X29" i="22"/>
  <c r="W29" i="22"/>
  <c r="V29" i="22"/>
  <c r="U29" i="22"/>
  <c r="T29" i="22"/>
  <c r="S29" i="22"/>
  <c r="Q29" i="22"/>
  <c r="O29" i="22"/>
  <c r="M29" i="22"/>
  <c r="K29" i="22"/>
  <c r="X28" i="22"/>
  <c r="W28" i="22"/>
  <c r="V28" i="22"/>
  <c r="U28" i="22"/>
  <c r="T28" i="22"/>
  <c r="S28" i="22"/>
  <c r="Q28" i="22"/>
  <c r="O28" i="22"/>
  <c r="M28" i="22"/>
  <c r="K28" i="22"/>
  <c r="X27" i="22"/>
  <c r="W27" i="22"/>
  <c r="V27" i="22"/>
  <c r="U27" i="22"/>
  <c r="T27" i="22"/>
  <c r="S27" i="22"/>
  <c r="Q27" i="22"/>
  <c r="O27" i="22"/>
  <c r="M27" i="22"/>
  <c r="K27" i="22"/>
  <c r="X26" i="22"/>
  <c r="W26" i="22"/>
  <c r="V26" i="22"/>
  <c r="U26" i="22"/>
  <c r="T26" i="22"/>
  <c r="S26" i="22"/>
  <c r="Q26" i="22"/>
  <c r="O26" i="22"/>
  <c r="M26" i="22"/>
  <c r="K26" i="22"/>
  <c r="X25" i="22"/>
  <c r="W25" i="22"/>
  <c r="V25" i="22"/>
  <c r="U25" i="22"/>
  <c r="T25" i="22"/>
  <c r="S25" i="22"/>
  <c r="Q25" i="22"/>
  <c r="O25" i="22"/>
  <c r="M25" i="22"/>
  <c r="K25" i="22"/>
  <c r="X24" i="22"/>
  <c r="W24" i="22"/>
  <c r="V24" i="22"/>
  <c r="U24" i="22"/>
  <c r="T24" i="22"/>
  <c r="S24" i="22"/>
  <c r="Q24" i="22"/>
  <c r="O24" i="22"/>
  <c r="M24" i="22"/>
  <c r="K24" i="22"/>
  <c r="X23" i="22"/>
  <c r="W23" i="22"/>
  <c r="V23" i="22"/>
  <c r="U23" i="22"/>
  <c r="T23" i="22"/>
  <c r="S23" i="22"/>
  <c r="Q23" i="22"/>
  <c r="O23" i="22"/>
  <c r="M23" i="22"/>
  <c r="K23" i="22"/>
  <c r="X22" i="22"/>
  <c r="W22" i="22"/>
  <c r="V22" i="22"/>
  <c r="U22" i="22"/>
  <c r="T22" i="22"/>
  <c r="S22" i="22"/>
  <c r="Q22" i="22"/>
  <c r="O22" i="22"/>
  <c r="M22" i="22"/>
  <c r="K22" i="22"/>
  <c r="X21" i="22"/>
  <c r="W21" i="22"/>
  <c r="V21" i="22"/>
  <c r="U21" i="22"/>
  <c r="T21" i="22"/>
  <c r="S21" i="22"/>
  <c r="Q21" i="22"/>
  <c r="O21" i="22"/>
  <c r="M21" i="22"/>
  <c r="K21" i="22"/>
  <c r="X20" i="22"/>
  <c r="W20" i="22"/>
  <c r="V20" i="22"/>
  <c r="U20" i="22"/>
  <c r="T20" i="22"/>
  <c r="S20" i="22"/>
  <c r="Q20" i="22"/>
  <c r="O20" i="22"/>
  <c r="M20" i="22"/>
  <c r="K20" i="22"/>
  <c r="X19" i="22"/>
  <c r="W19" i="22"/>
  <c r="V19" i="22"/>
  <c r="U19" i="22"/>
  <c r="T19" i="22"/>
  <c r="S19" i="22"/>
  <c r="Q19" i="22"/>
  <c r="O19" i="22"/>
  <c r="M19" i="22"/>
  <c r="K19" i="22"/>
  <c r="X18" i="22"/>
  <c r="W18" i="22"/>
  <c r="V18" i="22"/>
  <c r="U18" i="22"/>
  <c r="T18" i="22"/>
  <c r="S18" i="22"/>
  <c r="Q18" i="22"/>
  <c r="O18" i="22"/>
  <c r="M18" i="22"/>
  <c r="K18" i="22"/>
  <c r="X17" i="22"/>
  <c r="W17" i="22"/>
  <c r="V17" i="22"/>
  <c r="U17" i="22"/>
  <c r="T17" i="22"/>
  <c r="S17" i="22"/>
  <c r="Q17" i="22"/>
  <c r="O17" i="22"/>
  <c r="M17" i="22"/>
  <c r="K17" i="22"/>
  <c r="X16" i="22"/>
  <c r="W16" i="22"/>
  <c r="V16" i="22"/>
  <c r="U16" i="22"/>
  <c r="T16" i="22"/>
  <c r="S16" i="22"/>
  <c r="Q16" i="22"/>
  <c r="O16" i="22"/>
  <c r="M16" i="22"/>
  <c r="K16" i="22"/>
  <c r="X15" i="22"/>
  <c r="W15" i="22"/>
  <c r="V15" i="22"/>
  <c r="U15" i="22"/>
  <c r="T15" i="22"/>
  <c r="S15" i="22"/>
  <c r="Q15" i="22"/>
  <c r="O15" i="22"/>
  <c r="M15" i="22"/>
  <c r="K15" i="22"/>
  <c r="X14" i="22"/>
  <c r="W14" i="22"/>
  <c r="V14" i="22"/>
  <c r="U14" i="22"/>
  <c r="T14" i="22"/>
  <c r="S14" i="22"/>
  <c r="Q14" i="22"/>
  <c r="O14" i="22"/>
  <c r="M14" i="22"/>
  <c r="K14" i="22"/>
  <c r="X13" i="22"/>
  <c r="W13" i="22"/>
  <c r="V13" i="22"/>
  <c r="U13" i="22"/>
  <c r="T13" i="22"/>
  <c r="S13" i="22"/>
  <c r="Q13" i="22"/>
  <c r="O13" i="22"/>
  <c r="M13" i="22"/>
  <c r="K13" i="22"/>
  <c r="X12" i="22"/>
  <c r="W12" i="22"/>
  <c r="V12" i="22"/>
  <c r="U12" i="22"/>
  <c r="T12" i="22"/>
  <c r="S12" i="22"/>
  <c r="Q12" i="22"/>
  <c r="O12" i="22"/>
  <c r="M12" i="22"/>
  <c r="K12" i="22"/>
  <c r="X11" i="22"/>
  <c r="W11" i="22"/>
  <c r="V11" i="22"/>
  <c r="U11" i="22"/>
  <c r="T11" i="22"/>
  <c r="S11" i="22"/>
  <c r="Q11" i="22"/>
  <c r="O11" i="22"/>
  <c r="M11" i="22"/>
  <c r="K11" i="22"/>
  <c r="X10" i="22"/>
  <c r="W10" i="22"/>
  <c r="V10" i="22"/>
  <c r="U10" i="22"/>
  <c r="T10" i="22"/>
  <c r="S10" i="22"/>
  <c r="Q10" i="22"/>
  <c r="O10" i="22"/>
  <c r="M10" i="22"/>
  <c r="K10" i="22"/>
  <c r="X9" i="22"/>
  <c r="W9" i="22"/>
  <c r="V9" i="22"/>
  <c r="U9" i="22"/>
  <c r="T9" i="22"/>
  <c r="S9" i="22"/>
  <c r="Q9" i="22"/>
  <c r="O9" i="22"/>
  <c r="M9" i="22"/>
  <c r="K9" i="22"/>
  <c r="X8" i="22"/>
  <c r="W8" i="22"/>
  <c r="V8" i="22"/>
  <c r="U8" i="22"/>
  <c r="T8" i="22"/>
  <c r="S8" i="22"/>
  <c r="Q8" i="22"/>
  <c r="O8" i="22"/>
  <c r="M8" i="22"/>
  <c r="K8" i="22"/>
  <c r="X7" i="22"/>
  <c r="W7" i="22"/>
  <c r="V7" i="22"/>
  <c r="U7" i="22"/>
  <c r="T7" i="22"/>
  <c r="S7" i="22"/>
  <c r="Q7" i="22"/>
  <c r="O7" i="22"/>
  <c r="M7" i="22"/>
  <c r="K7" i="22"/>
  <c r="X311" i="21"/>
  <c r="W311" i="21"/>
  <c r="V311" i="21"/>
  <c r="U311" i="21"/>
  <c r="T311" i="21"/>
  <c r="S311" i="21"/>
  <c r="Q311" i="21"/>
  <c r="O311" i="21"/>
  <c r="M311" i="21"/>
  <c r="K311" i="21"/>
  <c r="X310" i="21"/>
  <c r="W310" i="21"/>
  <c r="V310" i="21"/>
  <c r="U310" i="21"/>
  <c r="T310" i="21"/>
  <c r="S310" i="21"/>
  <c r="Q310" i="21"/>
  <c r="O310" i="21"/>
  <c r="M310" i="21"/>
  <c r="K310" i="21"/>
  <c r="X309" i="21"/>
  <c r="W309" i="21"/>
  <c r="V309" i="21"/>
  <c r="U309" i="21"/>
  <c r="T309" i="21"/>
  <c r="S309" i="21"/>
  <c r="Q309" i="21"/>
  <c r="O309" i="21"/>
  <c r="M309" i="21"/>
  <c r="K309" i="21"/>
  <c r="X308" i="21"/>
  <c r="W308" i="21"/>
  <c r="V308" i="21"/>
  <c r="U308" i="21"/>
  <c r="T308" i="21"/>
  <c r="S308" i="21"/>
  <c r="Q308" i="21"/>
  <c r="O308" i="21"/>
  <c r="M308" i="21"/>
  <c r="K308" i="21"/>
  <c r="X307" i="21"/>
  <c r="W307" i="21"/>
  <c r="V307" i="21"/>
  <c r="U307" i="21"/>
  <c r="T307" i="21"/>
  <c r="S307" i="21"/>
  <c r="Q307" i="21"/>
  <c r="O307" i="21"/>
  <c r="M307" i="21"/>
  <c r="K307" i="21"/>
  <c r="X306" i="21"/>
  <c r="W306" i="21"/>
  <c r="V306" i="21"/>
  <c r="U306" i="21"/>
  <c r="T306" i="21"/>
  <c r="S306" i="21"/>
  <c r="Q306" i="21"/>
  <c r="O306" i="21"/>
  <c r="M306" i="21"/>
  <c r="K306" i="21"/>
  <c r="X305" i="21"/>
  <c r="W305" i="21"/>
  <c r="V305" i="21"/>
  <c r="U305" i="21"/>
  <c r="T305" i="21"/>
  <c r="S305" i="21"/>
  <c r="Q305" i="21"/>
  <c r="O305" i="21"/>
  <c r="M305" i="21"/>
  <c r="K305" i="21"/>
  <c r="X304" i="21"/>
  <c r="W304" i="21"/>
  <c r="V304" i="21"/>
  <c r="U304" i="21"/>
  <c r="T304" i="21"/>
  <c r="S304" i="21"/>
  <c r="Q304" i="21"/>
  <c r="O304" i="21"/>
  <c r="M304" i="21"/>
  <c r="K304" i="21"/>
  <c r="X303" i="21"/>
  <c r="W303" i="21"/>
  <c r="V303" i="21"/>
  <c r="U303" i="21"/>
  <c r="T303" i="21"/>
  <c r="S303" i="21"/>
  <c r="Q303" i="21"/>
  <c r="O303" i="21"/>
  <c r="M303" i="21"/>
  <c r="K303" i="21"/>
  <c r="X302" i="21"/>
  <c r="W302" i="21"/>
  <c r="V302" i="21"/>
  <c r="U302" i="21"/>
  <c r="T302" i="21"/>
  <c r="S302" i="21"/>
  <c r="Q302" i="21"/>
  <c r="O302" i="21"/>
  <c r="M302" i="21"/>
  <c r="K302" i="21"/>
  <c r="X301" i="21"/>
  <c r="W301" i="21"/>
  <c r="V301" i="21"/>
  <c r="U301" i="21"/>
  <c r="T301" i="21"/>
  <c r="S301" i="21"/>
  <c r="Q301" i="21"/>
  <c r="O301" i="21"/>
  <c r="M301" i="21"/>
  <c r="K301" i="21"/>
  <c r="X300" i="21"/>
  <c r="W300" i="21"/>
  <c r="V300" i="21"/>
  <c r="U300" i="21"/>
  <c r="T300" i="21"/>
  <c r="S300" i="21"/>
  <c r="Q300" i="21"/>
  <c r="O300" i="21"/>
  <c r="M300" i="21"/>
  <c r="K300" i="21"/>
  <c r="X299" i="21"/>
  <c r="W299" i="21"/>
  <c r="V299" i="21"/>
  <c r="U299" i="21"/>
  <c r="T299" i="21"/>
  <c r="S299" i="21"/>
  <c r="Q299" i="21"/>
  <c r="O299" i="21"/>
  <c r="M299" i="21"/>
  <c r="K299" i="21"/>
  <c r="X298" i="21"/>
  <c r="W298" i="21"/>
  <c r="V298" i="21"/>
  <c r="U298" i="21"/>
  <c r="T298" i="21"/>
  <c r="S298" i="21"/>
  <c r="Q298" i="21"/>
  <c r="O298" i="21"/>
  <c r="M298" i="21"/>
  <c r="K298" i="21"/>
  <c r="X297" i="21"/>
  <c r="W297" i="21"/>
  <c r="V297" i="21"/>
  <c r="U297" i="21"/>
  <c r="T297" i="21"/>
  <c r="S297" i="21"/>
  <c r="Q297" i="21"/>
  <c r="O297" i="21"/>
  <c r="M297" i="21"/>
  <c r="K297" i="21"/>
  <c r="X296" i="21"/>
  <c r="W296" i="21"/>
  <c r="V296" i="21"/>
  <c r="U296" i="21"/>
  <c r="T296" i="21"/>
  <c r="S296" i="21"/>
  <c r="Q296" i="21"/>
  <c r="O296" i="21"/>
  <c r="M296" i="21"/>
  <c r="K296" i="21"/>
  <c r="X295" i="21"/>
  <c r="W295" i="21"/>
  <c r="V295" i="21"/>
  <c r="U295" i="21"/>
  <c r="T295" i="21"/>
  <c r="S295" i="21"/>
  <c r="Q295" i="21"/>
  <c r="O295" i="21"/>
  <c r="M295" i="21"/>
  <c r="K295" i="21"/>
  <c r="X294" i="21"/>
  <c r="W294" i="21"/>
  <c r="V294" i="21"/>
  <c r="U294" i="21"/>
  <c r="T294" i="21"/>
  <c r="S294" i="21"/>
  <c r="Q294" i="21"/>
  <c r="O294" i="21"/>
  <c r="M294" i="21"/>
  <c r="K294" i="21"/>
  <c r="X293" i="21"/>
  <c r="W293" i="21"/>
  <c r="V293" i="21"/>
  <c r="U293" i="21"/>
  <c r="T293" i="21"/>
  <c r="S293" i="21"/>
  <c r="Q293" i="21"/>
  <c r="O293" i="21"/>
  <c r="M293" i="21"/>
  <c r="K293" i="21"/>
  <c r="X292" i="21"/>
  <c r="W292" i="21"/>
  <c r="V292" i="21"/>
  <c r="U292" i="21"/>
  <c r="T292" i="21"/>
  <c r="S292" i="21"/>
  <c r="Q292" i="21"/>
  <c r="O292" i="21"/>
  <c r="M292" i="21"/>
  <c r="K292" i="21"/>
  <c r="X291" i="21"/>
  <c r="W291" i="21"/>
  <c r="V291" i="21"/>
  <c r="U291" i="21"/>
  <c r="T291" i="21"/>
  <c r="S291" i="21"/>
  <c r="Q291" i="21"/>
  <c r="O291" i="21"/>
  <c r="M291" i="21"/>
  <c r="K291" i="21"/>
  <c r="X290" i="21"/>
  <c r="W290" i="21"/>
  <c r="V290" i="21"/>
  <c r="U290" i="21"/>
  <c r="T290" i="21"/>
  <c r="S290" i="21"/>
  <c r="Q290" i="21"/>
  <c r="O290" i="21"/>
  <c r="M290" i="21"/>
  <c r="K290" i="21"/>
  <c r="X289" i="21"/>
  <c r="W289" i="21"/>
  <c r="V289" i="21"/>
  <c r="U289" i="21"/>
  <c r="T289" i="21"/>
  <c r="S289" i="21"/>
  <c r="Q289" i="21"/>
  <c r="O289" i="21"/>
  <c r="M289" i="21"/>
  <c r="K289" i="21"/>
  <c r="X288" i="21"/>
  <c r="W288" i="21"/>
  <c r="V288" i="21"/>
  <c r="U288" i="21"/>
  <c r="T288" i="21"/>
  <c r="S288" i="21"/>
  <c r="Q288" i="21"/>
  <c r="O288" i="21"/>
  <c r="M288" i="21"/>
  <c r="K288" i="21"/>
  <c r="X287" i="21"/>
  <c r="W287" i="21"/>
  <c r="V287" i="21"/>
  <c r="U287" i="21"/>
  <c r="T287" i="21"/>
  <c r="S287" i="21"/>
  <c r="Q287" i="21"/>
  <c r="O287" i="21"/>
  <c r="M287" i="21"/>
  <c r="K287" i="21"/>
  <c r="X286" i="21"/>
  <c r="W286" i="21"/>
  <c r="V286" i="21"/>
  <c r="U286" i="21"/>
  <c r="T286" i="21"/>
  <c r="S286" i="21"/>
  <c r="Q286" i="21"/>
  <c r="O286" i="21"/>
  <c r="M286" i="21"/>
  <c r="K286" i="21"/>
  <c r="X285" i="21"/>
  <c r="W285" i="21"/>
  <c r="V285" i="21"/>
  <c r="U285" i="21"/>
  <c r="T285" i="21"/>
  <c r="S285" i="21"/>
  <c r="Q285" i="21"/>
  <c r="O285" i="21"/>
  <c r="M285" i="21"/>
  <c r="K285" i="21"/>
  <c r="X284" i="21"/>
  <c r="W284" i="21"/>
  <c r="V284" i="21"/>
  <c r="U284" i="21"/>
  <c r="T284" i="21"/>
  <c r="S284" i="21"/>
  <c r="Q284" i="21"/>
  <c r="O284" i="21"/>
  <c r="M284" i="21"/>
  <c r="K284" i="21"/>
  <c r="X283" i="21"/>
  <c r="W283" i="21"/>
  <c r="V283" i="21"/>
  <c r="U283" i="21"/>
  <c r="T283" i="21"/>
  <c r="S283" i="21"/>
  <c r="Q283" i="21"/>
  <c r="O283" i="21"/>
  <c r="M283" i="21"/>
  <c r="K283" i="21"/>
  <c r="X282" i="21"/>
  <c r="W282" i="21"/>
  <c r="V282" i="21"/>
  <c r="U282" i="21"/>
  <c r="T282" i="21"/>
  <c r="S282" i="21"/>
  <c r="Q282" i="21"/>
  <c r="O282" i="21"/>
  <c r="M282" i="21"/>
  <c r="K282" i="21"/>
  <c r="X281" i="21"/>
  <c r="W281" i="21"/>
  <c r="V281" i="21"/>
  <c r="U281" i="21"/>
  <c r="T281" i="21"/>
  <c r="S281" i="21"/>
  <c r="Q281" i="21"/>
  <c r="O281" i="21"/>
  <c r="M281" i="21"/>
  <c r="K281" i="21"/>
  <c r="X280" i="21"/>
  <c r="W280" i="21"/>
  <c r="V280" i="21"/>
  <c r="U280" i="21"/>
  <c r="T280" i="21"/>
  <c r="S280" i="21"/>
  <c r="Q280" i="21"/>
  <c r="O280" i="21"/>
  <c r="M280" i="21"/>
  <c r="K280" i="21"/>
  <c r="X279" i="21"/>
  <c r="W279" i="21"/>
  <c r="V279" i="21"/>
  <c r="U279" i="21"/>
  <c r="T279" i="21"/>
  <c r="S279" i="21"/>
  <c r="Q279" i="21"/>
  <c r="O279" i="21"/>
  <c r="M279" i="21"/>
  <c r="K279" i="21"/>
  <c r="X278" i="21"/>
  <c r="W278" i="21"/>
  <c r="V278" i="21"/>
  <c r="U278" i="21"/>
  <c r="T278" i="21"/>
  <c r="S278" i="21"/>
  <c r="Q278" i="21"/>
  <c r="O278" i="21"/>
  <c r="M278" i="21"/>
  <c r="K278" i="21"/>
  <c r="X277" i="21"/>
  <c r="W277" i="21"/>
  <c r="V277" i="21"/>
  <c r="U277" i="21"/>
  <c r="T277" i="21"/>
  <c r="S277" i="21"/>
  <c r="Q277" i="21"/>
  <c r="O277" i="21"/>
  <c r="M277" i="21"/>
  <c r="K277" i="21"/>
  <c r="X276" i="21"/>
  <c r="W276" i="21"/>
  <c r="V276" i="21"/>
  <c r="U276" i="21"/>
  <c r="T276" i="21"/>
  <c r="S276" i="21"/>
  <c r="Q276" i="21"/>
  <c r="O276" i="21"/>
  <c r="M276" i="21"/>
  <c r="K276" i="21"/>
  <c r="X275" i="21"/>
  <c r="W275" i="21"/>
  <c r="V275" i="21"/>
  <c r="U275" i="21"/>
  <c r="T275" i="21"/>
  <c r="S275" i="21"/>
  <c r="Q275" i="21"/>
  <c r="O275" i="21"/>
  <c r="M275" i="21"/>
  <c r="K275" i="21"/>
  <c r="X274" i="21"/>
  <c r="W274" i="21"/>
  <c r="V274" i="21"/>
  <c r="U274" i="21"/>
  <c r="T274" i="21"/>
  <c r="S274" i="21"/>
  <c r="Q274" i="21"/>
  <c r="O274" i="21"/>
  <c r="M274" i="21"/>
  <c r="K274" i="21"/>
  <c r="X273" i="21"/>
  <c r="W273" i="21"/>
  <c r="V273" i="21"/>
  <c r="U273" i="21"/>
  <c r="T273" i="21"/>
  <c r="S273" i="21"/>
  <c r="Q273" i="21"/>
  <c r="O273" i="21"/>
  <c r="M273" i="21"/>
  <c r="K273" i="21"/>
  <c r="X272" i="21"/>
  <c r="W272" i="21"/>
  <c r="V272" i="21"/>
  <c r="U272" i="21"/>
  <c r="T272" i="21"/>
  <c r="S272" i="21"/>
  <c r="Q272" i="21"/>
  <c r="O272" i="21"/>
  <c r="M272" i="21"/>
  <c r="K272" i="21"/>
  <c r="X271" i="21"/>
  <c r="W271" i="21"/>
  <c r="V271" i="21"/>
  <c r="U271" i="21"/>
  <c r="T271" i="21"/>
  <c r="S271" i="21"/>
  <c r="Q271" i="21"/>
  <c r="O271" i="21"/>
  <c r="M271" i="21"/>
  <c r="K271" i="21"/>
  <c r="X270" i="21"/>
  <c r="W270" i="21"/>
  <c r="V270" i="21"/>
  <c r="U270" i="21"/>
  <c r="T270" i="21"/>
  <c r="S270" i="21"/>
  <c r="Q270" i="21"/>
  <c r="O270" i="21"/>
  <c r="M270" i="21"/>
  <c r="K270" i="21"/>
  <c r="X269" i="21"/>
  <c r="W269" i="21"/>
  <c r="V269" i="21"/>
  <c r="U269" i="21"/>
  <c r="T269" i="21"/>
  <c r="S269" i="21"/>
  <c r="Q269" i="21"/>
  <c r="O269" i="21"/>
  <c r="M269" i="21"/>
  <c r="K269" i="21"/>
  <c r="X268" i="21"/>
  <c r="W268" i="21"/>
  <c r="V268" i="21"/>
  <c r="U268" i="21"/>
  <c r="T268" i="21"/>
  <c r="S268" i="21"/>
  <c r="Q268" i="21"/>
  <c r="O268" i="21"/>
  <c r="M268" i="21"/>
  <c r="K268" i="21"/>
  <c r="X267" i="21"/>
  <c r="W267" i="21"/>
  <c r="V267" i="21"/>
  <c r="U267" i="21"/>
  <c r="T267" i="21"/>
  <c r="S267" i="21"/>
  <c r="Q267" i="21"/>
  <c r="O267" i="21"/>
  <c r="M267" i="21"/>
  <c r="K267" i="21"/>
  <c r="X266" i="21"/>
  <c r="W266" i="21"/>
  <c r="V266" i="21"/>
  <c r="U266" i="21"/>
  <c r="T266" i="21"/>
  <c r="S266" i="21"/>
  <c r="Q266" i="21"/>
  <c r="O266" i="21"/>
  <c r="M266" i="21"/>
  <c r="K266" i="21"/>
  <c r="X265" i="21"/>
  <c r="W265" i="21"/>
  <c r="V265" i="21"/>
  <c r="U265" i="21"/>
  <c r="T265" i="21"/>
  <c r="S265" i="21"/>
  <c r="Q265" i="21"/>
  <c r="O265" i="21"/>
  <c r="M265" i="21"/>
  <c r="K265" i="21"/>
  <c r="X264" i="21"/>
  <c r="W264" i="21"/>
  <c r="V264" i="21"/>
  <c r="U264" i="21"/>
  <c r="T264" i="21"/>
  <c r="S264" i="21"/>
  <c r="Q264" i="21"/>
  <c r="O264" i="21"/>
  <c r="M264" i="21"/>
  <c r="K264" i="21"/>
  <c r="X263" i="21"/>
  <c r="W263" i="21"/>
  <c r="V263" i="21"/>
  <c r="U263" i="21"/>
  <c r="T263" i="21"/>
  <c r="S263" i="21"/>
  <c r="Q263" i="21"/>
  <c r="O263" i="21"/>
  <c r="M263" i="21"/>
  <c r="K263" i="21"/>
  <c r="X262" i="21"/>
  <c r="W262" i="21"/>
  <c r="V262" i="21"/>
  <c r="U262" i="21"/>
  <c r="T262" i="21"/>
  <c r="S262" i="21"/>
  <c r="Q262" i="21"/>
  <c r="O262" i="21"/>
  <c r="M262" i="21"/>
  <c r="K262" i="21"/>
  <c r="X261" i="21"/>
  <c r="W261" i="21"/>
  <c r="V261" i="21"/>
  <c r="U261" i="21"/>
  <c r="T261" i="21"/>
  <c r="S261" i="21"/>
  <c r="Q261" i="21"/>
  <c r="O261" i="21"/>
  <c r="M261" i="21"/>
  <c r="K261" i="21"/>
  <c r="X260" i="21"/>
  <c r="W260" i="21"/>
  <c r="V260" i="21"/>
  <c r="U260" i="21"/>
  <c r="T260" i="21"/>
  <c r="S260" i="21"/>
  <c r="Q260" i="21"/>
  <c r="O260" i="21"/>
  <c r="M260" i="21"/>
  <c r="K260" i="21"/>
  <c r="X259" i="21"/>
  <c r="W259" i="21"/>
  <c r="V259" i="21"/>
  <c r="U259" i="21"/>
  <c r="T259" i="21"/>
  <c r="S259" i="21"/>
  <c r="Q259" i="21"/>
  <c r="O259" i="21"/>
  <c r="M259" i="21"/>
  <c r="K259" i="21"/>
  <c r="X258" i="21"/>
  <c r="W258" i="21"/>
  <c r="V258" i="21"/>
  <c r="U258" i="21"/>
  <c r="T258" i="21"/>
  <c r="S258" i="21"/>
  <c r="Q258" i="21"/>
  <c r="O258" i="21"/>
  <c r="M258" i="21"/>
  <c r="K258" i="21"/>
  <c r="X257" i="21"/>
  <c r="W257" i="21"/>
  <c r="V257" i="21"/>
  <c r="U257" i="21"/>
  <c r="T257" i="21"/>
  <c r="S257" i="21"/>
  <c r="Q257" i="21"/>
  <c r="O257" i="21"/>
  <c r="M257" i="21"/>
  <c r="K257" i="21"/>
  <c r="X256" i="21"/>
  <c r="W256" i="21"/>
  <c r="V256" i="21"/>
  <c r="U256" i="21"/>
  <c r="T256" i="21"/>
  <c r="S256" i="21"/>
  <c r="Q256" i="21"/>
  <c r="O256" i="21"/>
  <c r="M256" i="21"/>
  <c r="K256" i="21"/>
  <c r="X255" i="21"/>
  <c r="W255" i="21"/>
  <c r="V255" i="21"/>
  <c r="U255" i="21"/>
  <c r="T255" i="21"/>
  <c r="S255" i="21"/>
  <c r="Q255" i="21"/>
  <c r="O255" i="21"/>
  <c r="M255" i="21"/>
  <c r="K255" i="21"/>
  <c r="X254" i="21"/>
  <c r="W254" i="21"/>
  <c r="V254" i="21"/>
  <c r="U254" i="21"/>
  <c r="T254" i="21"/>
  <c r="S254" i="21"/>
  <c r="Q254" i="21"/>
  <c r="O254" i="21"/>
  <c r="M254" i="21"/>
  <c r="K254" i="21"/>
  <c r="X253" i="21"/>
  <c r="W253" i="21"/>
  <c r="V253" i="21"/>
  <c r="U253" i="21"/>
  <c r="T253" i="21"/>
  <c r="S253" i="21"/>
  <c r="Q253" i="21"/>
  <c r="O253" i="21"/>
  <c r="M253" i="21"/>
  <c r="K253" i="21"/>
  <c r="X252" i="21"/>
  <c r="W252" i="21"/>
  <c r="V252" i="21"/>
  <c r="U252" i="21"/>
  <c r="T252" i="21"/>
  <c r="S252" i="21"/>
  <c r="Q252" i="21"/>
  <c r="O252" i="21"/>
  <c r="M252" i="21"/>
  <c r="K252" i="21"/>
  <c r="X251" i="21"/>
  <c r="W251" i="21"/>
  <c r="V251" i="21"/>
  <c r="U251" i="21"/>
  <c r="T251" i="21"/>
  <c r="S251" i="21"/>
  <c r="Q251" i="21"/>
  <c r="O251" i="21"/>
  <c r="M251" i="21"/>
  <c r="K251" i="21"/>
  <c r="X250" i="21"/>
  <c r="W250" i="21"/>
  <c r="V250" i="21"/>
  <c r="U250" i="21"/>
  <c r="T250" i="21"/>
  <c r="S250" i="21"/>
  <c r="Q250" i="21"/>
  <c r="O250" i="21"/>
  <c r="M250" i="21"/>
  <c r="K250" i="21"/>
  <c r="X249" i="21"/>
  <c r="W249" i="21"/>
  <c r="V249" i="21"/>
  <c r="U249" i="21"/>
  <c r="T249" i="21"/>
  <c r="S249" i="21"/>
  <c r="Q249" i="21"/>
  <c r="O249" i="21"/>
  <c r="M249" i="21"/>
  <c r="K249" i="21"/>
  <c r="X248" i="21"/>
  <c r="W248" i="21"/>
  <c r="V248" i="21"/>
  <c r="U248" i="21"/>
  <c r="T248" i="21"/>
  <c r="S248" i="21"/>
  <c r="Q248" i="21"/>
  <c r="O248" i="21"/>
  <c r="M248" i="21"/>
  <c r="K248" i="21"/>
  <c r="X247" i="21"/>
  <c r="W247" i="21"/>
  <c r="V247" i="21"/>
  <c r="U247" i="21"/>
  <c r="T247" i="21"/>
  <c r="S247" i="21"/>
  <c r="Q247" i="21"/>
  <c r="O247" i="21"/>
  <c r="M247" i="21"/>
  <c r="K247" i="21"/>
  <c r="X246" i="21"/>
  <c r="W246" i="21"/>
  <c r="V246" i="21"/>
  <c r="U246" i="21"/>
  <c r="T246" i="21"/>
  <c r="S246" i="21"/>
  <c r="Q246" i="21"/>
  <c r="O246" i="21"/>
  <c r="M246" i="21"/>
  <c r="K246" i="21"/>
  <c r="X245" i="21"/>
  <c r="W245" i="21"/>
  <c r="V245" i="21"/>
  <c r="U245" i="21"/>
  <c r="T245" i="21"/>
  <c r="S245" i="21"/>
  <c r="Q245" i="21"/>
  <c r="O245" i="21"/>
  <c r="M245" i="21"/>
  <c r="K245" i="21"/>
  <c r="X244" i="21"/>
  <c r="W244" i="21"/>
  <c r="V244" i="21"/>
  <c r="U244" i="21"/>
  <c r="T244" i="21"/>
  <c r="S244" i="21"/>
  <c r="Q244" i="21"/>
  <c r="O244" i="21"/>
  <c r="M244" i="21"/>
  <c r="K244" i="21"/>
  <c r="X243" i="21"/>
  <c r="W243" i="21"/>
  <c r="V243" i="21"/>
  <c r="U243" i="21"/>
  <c r="T243" i="21"/>
  <c r="S243" i="21"/>
  <c r="Q243" i="21"/>
  <c r="O243" i="21"/>
  <c r="M243" i="21"/>
  <c r="K243" i="21"/>
  <c r="X242" i="21"/>
  <c r="W242" i="21"/>
  <c r="V242" i="21"/>
  <c r="U242" i="21"/>
  <c r="T242" i="21"/>
  <c r="S242" i="21"/>
  <c r="Q242" i="21"/>
  <c r="O242" i="21"/>
  <c r="M242" i="21"/>
  <c r="K242" i="21"/>
  <c r="X241" i="21"/>
  <c r="W241" i="21"/>
  <c r="V241" i="21"/>
  <c r="U241" i="21"/>
  <c r="T241" i="21"/>
  <c r="S241" i="21"/>
  <c r="Q241" i="21"/>
  <c r="O241" i="21"/>
  <c r="M241" i="21"/>
  <c r="K241" i="21"/>
  <c r="X240" i="21"/>
  <c r="W240" i="21"/>
  <c r="V240" i="21"/>
  <c r="U240" i="21"/>
  <c r="T240" i="21"/>
  <c r="S240" i="21"/>
  <c r="Q240" i="21"/>
  <c r="O240" i="21"/>
  <c r="M240" i="21"/>
  <c r="K240" i="21"/>
  <c r="X239" i="21"/>
  <c r="W239" i="21"/>
  <c r="V239" i="21"/>
  <c r="U239" i="21"/>
  <c r="T239" i="21"/>
  <c r="S239" i="21"/>
  <c r="Q239" i="21"/>
  <c r="O239" i="21"/>
  <c r="M239" i="21"/>
  <c r="K239" i="21"/>
  <c r="X238" i="21"/>
  <c r="W238" i="21"/>
  <c r="V238" i="21"/>
  <c r="U238" i="21"/>
  <c r="T238" i="21"/>
  <c r="S238" i="21"/>
  <c r="Q238" i="21"/>
  <c r="O238" i="21"/>
  <c r="M238" i="21"/>
  <c r="K238" i="21"/>
  <c r="X237" i="21"/>
  <c r="W237" i="21"/>
  <c r="V237" i="21"/>
  <c r="U237" i="21"/>
  <c r="T237" i="21"/>
  <c r="S237" i="21"/>
  <c r="Q237" i="21"/>
  <c r="O237" i="21"/>
  <c r="M237" i="21"/>
  <c r="K237" i="21"/>
  <c r="X236" i="21"/>
  <c r="W236" i="21"/>
  <c r="V236" i="21"/>
  <c r="U236" i="21"/>
  <c r="T236" i="21"/>
  <c r="S236" i="21"/>
  <c r="Q236" i="21"/>
  <c r="O236" i="21"/>
  <c r="M236" i="21"/>
  <c r="K236" i="21"/>
  <c r="X235" i="21"/>
  <c r="W235" i="21"/>
  <c r="V235" i="21"/>
  <c r="U235" i="21"/>
  <c r="T235" i="21"/>
  <c r="S235" i="21"/>
  <c r="Q235" i="21"/>
  <c r="O235" i="21"/>
  <c r="M235" i="21"/>
  <c r="K235" i="21"/>
  <c r="X234" i="21"/>
  <c r="W234" i="21"/>
  <c r="V234" i="21"/>
  <c r="U234" i="21"/>
  <c r="T234" i="21"/>
  <c r="S234" i="21"/>
  <c r="Q234" i="21"/>
  <c r="O234" i="21"/>
  <c r="M234" i="21"/>
  <c r="K234" i="21"/>
  <c r="X233" i="21"/>
  <c r="W233" i="21"/>
  <c r="V233" i="21"/>
  <c r="U233" i="21"/>
  <c r="T233" i="21"/>
  <c r="S233" i="21"/>
  <c r="Q233" i="21"/>
  <c r="O233" i="21"/>
  <c r="M233" i="21"/>
  <c r="K233" i="21"/>
  <c r="X232" i="21"/>
  <c r="W232" i="21"/>
  <c r="V232" i="21"/>
  <c r="U232" i="21"/>
  <c r="T232" i="21"/>
  <c r="S232" i="21"/>
  <c r="Q232" i="21"/>
  <c r="O232" i="21"/>
  <c r="M232" i="21"/>
  <c r="K232" i="21"/>
  <c r="X231" i="21"/>
  <c r="W231" i="21"/>
  <c r="V231" i="21"/>
  <c r="U231" i="21"/>
  <c r="T231" i="21"/>
  <c r="S231" i="21"/>
  <c r="Q231" i="21"/>
  <c r="O231" i="21"/>
  <c r="M231" i="21"/>
  <c r="K231" i="21"/>
  <c r="X230" i="21"/>
  <c r="W230" i="21"/>
  <c r="V230" i="21"/>
  <c r="U230" i="21"/>
  <c r="T230" i="21"/>
  <c r="S230" i="21"/>
  <c r="Q230" i="21"/>
  <c r="O230" i="21"/>
  <c r="M230" i="21"/>
  <c r="K230" i="21"/>
  <c r="X229" i="21"/>
  <c r="W229" i="21"/>
  <c r="V229" i="21"/>
  <c r="U229" i="21"/>
  <c r="T229" i="21"/>
  <c r="S229" i="21"/>
  <c r="Q229" i="21"/>
  <c r="O229" i="21"/>
  <c r="M229" i="21"/>
  <c r="K229" i="21"/>
  <c r="X228" i="21"/>
  <c r="W228" i="21"/>
  <c r="V228" i="21"/>
  <c r="U228" i="21"/>
  <c r="T228" i="21"/>
  <c r="S228" i="21"/>
  <c r="Q228" i="21"/>
  <c r="O228" i="21"/>
  <c r="M228" i="21"/>
  <c r="K228" i="21"/>
  <c r="X227" i="21"/>
  <c r="W227" i="21"/>
  <c r="V227" i="21"/>
  <c r="U227" i="21"/>
  <c r="T227" i="21"/>
  <c r="S227" i="21"/>
  <c r="Q227" i="21"/>
  <c r="O227" i="21"/>
  <c r="M227" i="21"/>
  <c r="K227" i="21"/>
  <c r="X226" i="21"/>
  <c r="W226" i="21"/>
  <c r="V226" i="21"/>
  <c r="U226" i="21"/>
  <c r="T226" i="21"/>
  <c r="S226" i="21"/>
  <c r="Q226" i="21"/>
  <c r="O226" i="21"/>
  <c r="M226" i="21"/>
  <c r="K226" i="21"/>
  <c r="X225" i="21"/>
  <c r="W225" i="21"/>
  <c r="V225" i="21"/>
  <c r="U225" i="21"/>
  <c r="T225" i="21"/>
  <c r="S225" i="21"/>
  <c r="Q225" i="21"/>
  <c r="O225" i="21"/>
  <c r="M225" i="21"/>
  <c r="K225" i="21"/>
  <c r="X224" i="21"/>
  <c r="W224" i="21"/>
  <c r="V224" i="21"/>
  <c r="U224" i="21"/>
  <c r="T224" i="21"/>
  <c r="S224" i="21"/>
  <c r="Q224" i="21"/>
  <c r="O224" i="21"/>
  <c r="M224" i="21"/>
  <c r="K224" i="21"/>
  <c r="X223" i="21"/>
  <c r="W223" i="21"/>
  <c r="V223" i="21"/>
  <c r="U223" i="21"/>
  <c r="T223" i="21"/>
  <c r="S223" i="21"/>
  <c r="Q223" i="21"/>
  <c r="O223" i="21"/>
  <c r="M223" i="21"/>
  <c r="K223" i="21"/>
  <c r="X222" i="21"/>
  <c r="W222" i="21"/>
  <c r="V222" i="21"/>
  <c r="U222" i="21"/>
  <c r="T222" i="21"/>
  <c r="S222" i="21"/>
  <c r="Q222" i="21"/>
  <c r="O222" i="21"/>
  <c r="M222" i="21"/>
  <c r="K222" i="21"/>
  <c r="X221" i="21"/>
  <c r="W221" i="21"/>
  <c r="V221" i="21"/>
  <c r="U221" i="21"/>
  <c r="T221" i="21"/>
  <c r="S221" i="21"/>
  <c r="Q221" i="21"/>
  <c r="O221" i="21"/>
  <c r="M221" i="21"/>
  <c r="K221" i="21"/>
  <c r="X220" i="21"/>
  <c r="W220" i="21"/>
  <c r="V220" i="21"/>
  <c r="U220" i="21"/>
  <c r="T220" i="21"/>
  <c r="S220" i="21"/>
  <c r="Q220" i="21"/>
  <c r="O220" i="21"/>
  <c r="M220" i="21"/>
  <c r="K220" i="21"/>
  <c r="X219" i="21"/>
  <c r="W219" i="21"/>
  <c r="V219" i="21"/>
  <c r="U219" i="21"/>
  <c r="T219" i="21"/>
  <c r="S219" i="21"/>
  <c r="Q219" i="21"/>
  <c r="O219" i="21"/>
  <c r="M219" i="21"/>
  <c r="K219" i="21"/>
  <c r="X218" i="21"/>
  <c r="W218" i="21"/>
  <c r="V218" i="21"/>
  <c r="U218" i="21"/>
  <c r="T218" i="21"/>
  <c r="S218" i="21"/>
  <c r="Q218" i="21"/>
  <c r="O218" i="21"/>
  <c r="M218" i="21"/>
  <c r="K218" i="21"/>
  <c r="X217" i="21"/>
  <c r="W217" i="21"/>
  <c r="V217" i="21"/>
  <c r="U217" i="21"/>
  <c r="T217" i="21"/>
  <c r="S217" i="21"/>
  <c r="Q217" i="21"/>
  <c r="O217" i="21"/>
  <c r="M217" i="21"/>
  <c r="K217" i="21"/>
  <c r="X216" i="21"/>
  <c r="W216" i="21"/>
  <c r="V216" i="21"/>
  <c r="U216" i="21"/>
  <c r="T216" i="21"/>
  <c r="S216" i="21"/>
  <c r="Q216" i="21"/>
  <c r="O216" i="21"/>
  <c r="M216" i="21"/>
  <c r="K216" i="21"/>
  <c r="X215" i="21"/>
  <c r="W215" i="21"/>
  <c r="V215" i="21"/>
  <c r="U215" i="21"/>
  <c r="T215" i="21"/>
  <c r="S215" i="21"/>
  <c r="Q215" i="21"/>
  <c r="O215" i="21"/>
  <c r="M215" i="21"/>
  <c r="K215" i="21"/>
  <c r="X214" i="21"/>
  <c r="W214" i="21"/>
  <c r="V214" i="21"/>
  <c r="U214" i="21"/>
  <c r="T214" i="21"/>
  <c r="S214" i="21"/>
  <c r="Q214" i="21"/>
  <c r="O214" i="21"/>
  <c r="M214" i="21"/>
  <c r="K214" i="21"/>
  <c r="X213" i="21"/>
  <c r="W213" i="21"/>
  <c r="V213" i="21"/>
  <c r="U213" i="21"/>
  <c r="T213" i="21"/>
  <c r="S213" i="21"/>
  <c r="Q213" i="21"/>
  <c r="O213" i="21"/>
  <c r="M213" i="21"/>
  <c r="K213" i="21"/>
  <c r="X212" i="21"/>
  <c r="W212" i="21"/>
  <c r="V212" i="21"/>
  <c r="U212" i="21"/>
  <c r="T212" i="21"/>
  <c r="S212" i="21"/>
  <c r="Q212" i="21"/>
  <c r="O212" i="21"/>
  <c r="M212" i="21"/>
  <c r="K212" i="21"/>
  <c r="X211" i="21"/>
  <c r="W211" i="21"/>
  <c r="V211" i="21"/>
  <c r="U211" i="21"/>
  <c r="T211" i="21"/>
  <c r="S211" i="21"/>
  <c r="Q211" i="21"/>
  <c r="O211" i="21"/>
  <c r="M211" i="21"/>
  <c r="K211" i="21"/>
  <c r="X210" i="21"/>
  <c r="W210" i="21"/>
  <c r="V210" i="21"/>
  <c r="U210" i="21"/>
  <c r="T210" i="21"/>
  <c r="S210" i="21"/>
  <c r="Q210" i="21"/>
  <c r="O210" i="21"/>
  <c r="M210" i="21"/>
  <c r="K210" i="21"/>
  <c r="X209" i="21"/>
  <c r="W209" i="21"/>
  <c r="V209" i="21"/>
  <c r="U209" i="21"/>
  <c r="T209" i="21"/>
  <c r="S209" i="21"/>
  <c r="Q209" i="21"/>
  <c r="O209" i="21"/>
  <c r="M209" i="21"/>
  <c r="K209" i="21"/>
  <c r="X208" i="21"/>
  <c r="W208" i="21"/>
  <c r="V208" i="21"/>
  <c r="U208" i="21"/>
  <c r="T208" i="21"/>
  <c r="S208" i="21"/>
  <c r="Q208" i="21"/>
  <c r="O208" i="21"/>
  <c r="M208" i="21"/>
  <c r="K208" i="21"/>
  <c r="X207" i="21"/>
  <c r="W207" i="21"/>
  <c r="V207" i="21"/>
  <c r="U207" i="21"/>
  <c r="T207" i="21"/>
  <c r="S207" i="21"/>
  <c r="Q207" i="21"/>
  <c r="O207" i="21"/>
  <c r="M207" i="21"/>
  <c r="K207" i="21"/>
  <c r="X206" i="21"/>
  <c r="W206" i="21"/>
  <c r="V206" i="21"/>
  <c r="U206" i="21"/>
  <c r="T206" i="21"/>
  <c r="S206" i="21"/>
  <c r="Q206" i="21"/>
  <c r="O206" i="21"/>
  <c r="M206" i="21"/>
  <c r="K206" i="21"/>
  <c r="X205" i="21"/>
  <c r="W205" i="21"/>
  <c r="V205" i="21"/>
  <c r="U205" i="21"/>
  <c r="T205" i="21"/>
  <c r="S205" i="21"/>
  <c r="Q205" i="21"/>
  <c r="O205" i="21"/>
  <c r="M205" i="21"/>
  <c r="K205" i="21"/>
  <c r="X204" i="21"/>
  <c r="W204" i="21"/>
  <c r="V204" i="21"/>
  <c r="U204" i="21"/>
  <c r="T204" i="21"/>
  <c r="S204" i="21"/>
  <c r="Q204" i="21"/>
  <c r="O204" i="21"/>
  <c r="M204" i="21"/>
  <c r="K204" i="21"/>
  <c r="X203" i="21"/>
  <c r="W203" i="21"/>
  <c r="V203" i="21"/>
  <c r="U203" i="21"/>
  <c r="T203" i="21"/>
  <c r="S203" i="21"/>
  <c r="Q203" i="21"/>
  <c r="O203" i="21"/>
  <c r="M203" i="21"/>
  <c r="K203" i="21"/>
  <c r="X202" i="21"/>
  <c r="W202" i="21"/>
  <c r="V202" i="21"/>
  <c r="U202" i="21"/>
  <c r="T202" i="21"/>
  <c r="S202" i="21"/>
  <c r="Q202" i="21"/>
  <c r="O202" i="21"/>
  <c r="M202" i="21"/>
  <c r="K202" i="21"/>
  <c r="X201" i="21"/>
  <c r="W201" i="21"/>
  <c r="V201" i="21"/>
  <c r="U201" i="21"/>
  <c r="T201" i="21"/>
  <c r="S201" i="21"/>
  <c r="Q201" i="21"/>
  <c r="O201" i="21"/>
  <c r="M201" i="21"/>
  <c r="K201" i="21"/>
  <c r="X200" i="21"/>
  <c r="W200" i="21"/>
  <c r="V200" i="21"/>
  <c r="U200" i="21"/>
  <c r="T200" i="21"/>
  <c r="S200" i="21"/>
  <c r="Q200" i="21"/>
  <c r="O200" i="21"/>
  <c r="M200" i="21"/>
  <c r="K200" i="21"/>
  <c r="X199" i="21"/>
  <c r="W199" i="21"/>
  <c r="V199" i="21"/>
  <c r="U199" i="21"/>
  <c r="T199" i="21"/>
  <c r="S199" i="21"/>
  <c r="Q199" i="21"/>
  <c r="O199" i="21"/>
  <c r="M199" i="21"/>
  <c r="K199" i="21"/>
  <c r="X198" i="21"/>
  <c r="W198" i="21"/>
  <c r="V198" i="21"/>
  <c r="U198" i="21"/>
  <c r="T198" i="21"/>
  <c r="S198" i="21"/>
  <c r="Q198" i="21"/>
  <c r="O198" i="21"/>
  <c r="M198" i="21"/>
  <c r="K198" i="21"/>
  <c r="X197" i="21"/>
  <c r="W197" i="21"/>
  <c r="V197" i="21"/>
  <c r="U197" i="21"/>
  <c r="T197" i="21"/>
  <c r="S197" i="21"/>
  <c r="Q197" i="21"/>
  <c r="O197" i="21"/>
  <c r="M197" i="21"/>
  <c r="K197" i="21"/>
  <c r="X196" i="21"/>
  <c r="W196" i="21"/>
  <c r="V196" i="21"/>
  <c r="U196" i="21"/>
  <c r="T196" i="21"/>
  <c r="S196" i="21"/>
  <c r="Q196" i="21"/>
  <c r="O196" i="21"/>
  <c r="M196" i="21"/>
  <c r="K196" i="21"/>
  <c r="X195" i="21"/>
  <c r="W195" i="21"/>
  <c r="V195" i="21"/>
  <c r="U195" i="21"/>
  <c r="T195" i="21"/>
  <c r="S195" i="21"/>
  <c r="Q195" i="21"/>
  <c r="O195" i="21"/>
  <c r="M195" i="21"/>
  <c r="K195" i="21"/>
  <c r="X194" i="21"/>
  <c r="W194" i="21"/>
  <c r="V194" i="21"/>
  <c r="U194" i="21"/>
  <c r="T194" i="21"/>
  <c r="S194" i="21"/>
  <c r="Q194" i="21"/>
  <c r="O194" i="21"/>
  <c r="M194" i="21"/>
  <c r="K194" i="21"/>
  <c r="X193" i="21"/>
  <c r="W193" i="21"/>
  <c r="V193" i="21"/>
  <c r="U193" i="21"/>
  <c r="T193" i="21"/>
  <c r="S193" i="21"/>
  <c r="Q193" i="21"/>
  <c r="O193" i="21"/>
  <c r="M193" i="21"/>
  <c r="K193" i="21"/>
  <c r="X192" i="21"/>
  <c r="W192" i="21"/>
  <c r="V192" i="21"/>
  <c r="U192" i="21"/>
  <c r="T192" i="21"/>
  <c r="S192" i="21"/>
  <c r="Q192" i="21"/>
  <c r="O192" i="21"/>
  <c r="M192" i="21"/>
  <c r="K192" i="21"/>
  <c r="X191" i="21"/>
  <c r="W191" i="21"/>
  <c r="V191" i="21"/>
  <c r="U191" i="21"/>
  <c r="T191" i="21"/>
  <c r="S191" i="21"/>
  <c r="Q191" i="21"/>
  <c r="O191" i="21"/>
  <c r="M191" i="21"/>
  <c r="K191" i="21"/>
  <c r="X190" i="21"/>
  <c r="W190" i="21"/>
  <c r="V190" i="21"/>
  <c r="U190" i="21"/>
  <c r="T190" i="21"/>
  <c r="S190" i="21"/>
  <c r="Q190" i="21"/>
  <c r="O190" i="21"/>
  <c r="M190" i="21"/>
  <c r="K190" i="21"/>
  <c r="X189" i="21"/>
  <c r="W189" i="21"/>
  <c r="V189" i="21"/>
  <c r="U189" i="21"/>
  <c r="T189" i="21"/>
  <c r="S189" i="21"/>
  <c r="Q189" i="21"/>
  <c r="O189" i="21"/>
  <c r="M189" i="21"/>
  <c r="K189" i="21"/>
  <c r="X188" i="21"/>
  <c r="W188" i="21"/>
  <c r="V188" i="21"/>
  <c r="U188" i="21"/>
  <c r="T188" i="21"/>
  <c r="S188" i="21"/>
  <c r="Q188" i="21"/>
  <c r="O188" i="21"/>
  <c r="M188" i="21"/>
  <c r="K188" i="21"/>
  <c r="X187" i="21"/>
  <c r="W187" i="21"/>
  <c r="V187" i="21"/>
  <c r="U187" i="21"/>
  <c r="T187" i="21"/>
  <c r="S187" i="21"/>
  <c r="Q187" i="21"/>
  <c r="O187" i="21"/>
  <c r="M187" i="21"/>
  <c r="K187" i="21"/>
  <c r="X186" i="21"/>
  <c r="W186" i="21"/>
  <c r="V186" i="21"/>
  <c r="U186" i="21"/>
  <c r="T186" i="21"/>
  <c r="S186" i="21"/>
  <c r="Q186" i="21"/>
  <c r="O186" i="21"/>
  <c r="M186" i="21"/>
  <c r="K186" i="21"/>
  <c r="X185" i="21"/>
  <c r="W185" i="21"/>
  <c r="V185" i="21"/>
  <c r="U185" i="21"/>
  <c r="T185" i="21"/>
  <c r="S185" i="21"/>
  <c r="Q185" i="21"/>
  <c r="O185" i="21"/>
  <c r="M185" i="21"/>
  <c r="K185" i="21"/>
  <c r="X184" i="21"/>
  <c r="W184" i="21"/>
  <c r="V184" i="21"/>
  <c r="U184" i="21"/>
  <c r="T184" i="21"/>
  <c r="S184" i="21"/>
  <c r="Q184" i="21"/>
  <c r="O184" i="21"/>
  <c r="M184" i="21"/>
  <c r="K184" i="21"/>
  <c r="X183" i="21"/>
  <c r="W183" i="21"/>
  <c r="V183" i="21"/>
  <c r="U183" i="21"/>
  <c r="T183" i="21"/>
  <c r="S183" i="21"/>
  <c r="Q183" i="21"/>
  <c r="O183" i="21"/>
  <c r="M183" i="21"/>
  <c r="K183" i="21"/>
  <c r="X182" i="21"/>
  <c r="W182" i="21"/>
  <c r="V182" i="21"/>
  <c r="U182" i="21"/>
  <c r="T182" i="21"/>
  <c r="S182" i="21"/>
  <c r="Q182" i="21"/>
  <c r="O182" i="21"/>
  <c r="M182" i="21"/>
  <c r="K182" i="21"/>
  <c r="X181" i="21"/>
  <c r="W181" i="21"/>
  <c r="V181" i="21"/>
  <c r="U181" i="21"/>
  <c r="T181" i="21"/>
  <c r="S181" i="21"/>
  <c r="Q181" i="21"/>
  <c r="O181" i="21"/>
  <c r="M181" i="21"/>
  <c r="K181" i="21"/>
  <c r="X180" i="21"/>
  <c r="W180" i="21"/>
  <c r="V180" i="21"/>
  <c r="U180" i="21"/>
  <c r="T180" i="21"/>
  <c r="S180" i="21"/>
  <c r="Q180" i="21"/>
  <c r="O180" i="21"/>
  <c r="M180" i="21"/>
  <c r="K180" i="21"/>
  <c r="X179" i="21"/>
  <c r="W179" i="21"/>
  <c r="V179" i="21"/>
  <c r="U179" i="21"/>
  <c r="T179" i="21"/>
  <c r="S179" i="21"/>
  <c r="Q179" i="21"/>
  <c r="O179" i="21"/>
  <c r="M179" i="21"/>
  <c r="K179" i="21"/>
  <c r="X178" i="21"/>
  <c r="W178" i="21"/>
  <c r="V178" i="21"/>
  <c r="U178" i="21"/>
  <c r="T178" i="21"/>
  <c r="S178" i="21"/>
  <c r="Q178" i="21"/>
  <c r="O178" i="21"/>
  <c r="M178" i="21"/>
  <c r="K178" i="21"/>
  <c r="X177" i="21"/>
  <c r="W177" i="21"/>
  <c r="V177" i="21"/>
  <c r="U177" i="21"/>
  <c r="T177" i="21"/>
  <c r="S177" i="21"/>
  <c r="Q177" i="21"/>
  <c r="O177" i="21"/>
  <c r="M177" i="21"/>
  <c r="K177" i="21"/>
  <c r="X176" i="21"/>
  <c r="W176" i="21"/>
  <c r="V176" i="21"/>
  <c r="U176" i="21"/>
  <c r="T176" i="21"/>
  <c r="S176" i="21"/>
  <c r="Q176" i="21"/>
  <c r="O176" i="21"/>
  <c r="M176" i="21"/>
  <c r="K176" i="21"/>
  <c r="X175" i="21"/>
  <c r="W175" i="21"/>
  <c r="V175" i="21"/>
  <c r="U175" i="21"/>
  <c r="T175" i="21"/>
  <c r="S175" i="21"/>
  <c r="Q175" i="21"/>
  <c r="O175" i="21"/>
  <c r="M175" i="21"/>
  <c r="K175" i="21"/>
  <c r="X174" i="21"/>
  <c r="W174" i="21"/>
  <c r="V174" i="21"/>
  <c r="U174" i="21"/>
  <c r="T174" i="21"/>
  <c r="S174" i="21"/>
  <c r="Q174" i="21"/>
  <c r="O174" i="21"/>
  <c r="M174" i="21"/>
  <c r="K174" i="21"/>
  <c r="X173" i="21"/>
  <c r="W173" i="21"/>
  <c r="V173" i="21"/>
  <c r="U173" i="21"/>
  <c r="T173" i="21"/>
  <c r="S173" i="21"/>
  <c r="Q173" i="21"/>
  <c r="O173" i="21"/>
  <c r="M173" i="21"/>
  <c r="K173" i="21"/>
  <c r="X172" i="21"/>
  <c r="W172" i="21"/>
  <c r="V172" i="21"/>
  <c r="U172" i="21"/>
  <c r="T172" i="21"/>
  <c r="S172" i="21"/>
  <c r="Q172" i="21"/>
  <c r="O172" i="21"/>
  <c r="M172" i="21"/>
  <c r="K172" i="21"/>
  <c r="X171" i="21"/>
  <c r="W171" i="21"/>
  <c r="V171" i="21"/>
  <c r="U171" i="21"/>
  <c r="T171" i="21"/>
  <c r="S171" i="21"/>
  <c r="Q171" i="21"/>
  <c r="O171" i="21"/>
  <c r="M171" i="21"/>
  <c r="K171" i="21"/>
  <c r="X170" i="21"/>
  <c r="W170" i="21"/>
  <c r="V170" i="21"/>
  <c r="U170" i="21"/>
  <c r="T170" i="21"/>
  <c r="S170" i="21"/>
  <c r="Q170" i="21"/>
  <c r="O170" i="21"/>
  <c r="M170" i="21"/>
  <c r="K170" i="21"/>
  <c r="X169" i="21"/>
  <c r="W169" i="21"/>
  <c r="V169" i="21"/>
  <c r="U169" i="21"/>
  <c r="T169" i="21"/>
  <c r="S169" i="21"/>
  <c r="Q169" i="21"/>
  <c r="O169" i="21"/>
  <c r="M169" i="21"/>
  <c r="K169" i="21"/>
  <c r="X168" i="21"/>
  <c r="W168" i="21"/>
  <c r="V168" i="21"/>
  <c r="U168" i="21"/>
  <c r="T168" i="21"/>
  <c r="S168" i="21"/>
  <c r="Q168" i="21"/>
  <c r="O168" i="21"/>
  <c r="M168" i="21"/>
  <c r="K168" i="21"/>
  <c r="X167" i="21"/>
  <c r="W167" i="21"/>
  <c r="V167" i="21"/>
  <c r="U167" i="21"/>
  <c r="T167" i="21"/>
  <c r="S167" i="21"/>
  <c r="Q167" i="21"/>
  <c r="O167" i="21"/>
  <c r="M167" i="21"/>
  <c r="K167" i="21"/>
  <c r="X166" i="21"/>
  <c r="W166" i="21"/>
  <c r="V166" i="21"/>
  <c r="U166" i="21"/>
  <c r="T166" i="21"/>
  <c r="S166" i="21"/>
  <c r="Q166" i="21"/>
  <c r="O166" i="21"/>
  <c r="M166" i="21"/>
  <c r="K166" i="21"/>
  <c r="X165" i="21"/>
  <c r="W165" i="21"/>
  <c r="V165" i="21"/>
  <c r="U165" i="21"/>
  <c r="T165" i="21"/>
  <c r="S165" i="21"/>
  <c r="Q165" i="21"/>
  <c r="O165" i="21"/>
  <c r="M165" i="21"/>
  <c r="K165" i="21"/>
  <c r="X164" i="21"/>
  <c r="W164" i="21"/>
  <c r="V164" i="21"/>
  <c r="U164" i="21"/>
  <c r="T164" i="21"/>
  <c r="S164" i="21"/>
  <c r="Q164" i="21"/>
  <c r="O164" i="21"/>
  <c r="M164" i="21"/>
  <c r="K164" i="21"/>
  <c r="X163" i="21"/>
  <c r="W163" i="21"/>
  <c r="V163" i="21"/>
  <c r="U163" i="21"/>
  <c r="T163" i="21"/>
  <c r="S163" i="21"/>
  <c r="Q163" i="21"/>
  <c r="O163" i="21"/>
  <c r="M163" i="21"/>
  <c r="K163" i="21"/>
  <c r="X162" i="21"/>
  <c r="W162" i="21"/>
  <c r="V162" i="21"/>
  <c r="U162" i="21"/>
  <c r="T162" i="21"/>
  <c r="S162" i="21"/>
  <c r="Q162" i="21"/>
  <c r="O162" i="21"/>
  <c r="M162" i="21"/>
  <c r="K162" i="21"/>
  <c r="X161" i="21"/>
  <c r="W161" i="21"/>
  <c r="V161" i="21"/>
  <c r="U161" i="21"/>
  <c r="T161" i="21"/>
  <c r="S161" i="21"/>
  <c r="Q161" i="21"/>
  <c r="O161" i="21"/>
  <c r="M161" i="21"/>
  <c r="K161" i="21"/>
  <c r="X160" i="21"/>
  <c r="W160" i="21"/>
  <c r="V160" i="21"/>
  <c r="U160" i="21"/>
  <c r="T160" i="21"/>
  <c r="S160" i="21"/>
  <c r="Q160" i="21"/>
  <c r="O160" i="21"/>
  <c r="M160" i="21"/>
  <c r="K160" i="21"/>
  <c r="X159" i="21"/>
  <c r="W159" i="21"/>
  <c r="V159" i="21"/>
  <c r="U159" i="21"/>
  <c r="T159" i="21"/>
  <c r="S159" i="21"/>
  <c r="Q159" i="21"/>
  <c r="O159" i="21"/>
  <c r="M159" i="21"/>
  <c r="K159" i="21"/>
  <c r="X158" i="21"/>
  <c r="W158" i="21"/>
  <c r="V158" i="21"/>
  <c r="U158" i="21"/>
  <c r="T158" i="21"/>
  <c r="S158" i="21"/>
  <c r="Q158" i="21"/>
  <c r="O158" i="21"/>
  <c r="M158" i="21"/>
  <c r="K158" i="21"/>
  <c r="X157" i="21"/>
  <c r="W157" i="21"/>
  <c r="V157" i="21"/>
  <c r="U157" i="21"/>
  <c r="T157" i="21"/>
  <c r="S157" i="21"/>
  <c r="Q157" i="21"/>
  <c r="O157" i="21"/>
  <c r="M157" i="21"/>
  <c r="K157" i="21"/>
  <c r="X156" i="21"/>
  <c r="W156" i="21"/>
  <c r="V156" i="21"/>
  <c r="U156" i="21"/>
  <c r="T156" i="21"/>
  <c r="S156" i="21"/>
  <c r="Q156" i="21"/>
  <c r="O156" i="21"/>
  <c r="M156" i="21"/>
  <c r="K156" i="21"/>
  <c r="X155" i="21"/>
  <c r="W155" i="21"/>
  <c r="V155" i="21"/>
  <c r="U155" i="21"/>
  <c r="T155" i="21"/>
  <c r="S155" i="21"/>
  <c r="Q155" i="21"/>
  <c r="O155" i="21"/>
  <c r="M155" i="21"/>
  <c r="K155" i="21"/>
  <c r="X154" i="21"/>
  <c r="W154" i="21"/>
  <c r="V154" i="21"/>
  <c r="U154" i="21"/>
  <c r="T154" i="21"/>
  <c r="S154" i="21"/>
  <c r="Q154" i="21"/>
  <c r="O154" i="21"/>
  <c r="M154" i="21"/>
  <c r="K154" i="21"/>
  <c r="X153" i="21"/>
  <c r="W153" i="21"/>
  <c r="V153" i="21"/>
  <c r="U153" i="21"/>
  <c r="T153" i="21"/>
  <c r="S153" i="21"/>
  <c r="Q153" i="21"/>
  <c r="O153" i="21"/>
  <c r="M153" i="21"/>
  <c r="K153" i="21"/>
  <c r="X152" i="21"/>
  <c r="W152" i="21"/>
  <c r="V152" i="21"/>
  <c r="U152" i="21"/>
  <c r="T152" i="21"/>
  <c r="S152" i="21"/>
  <c r="Q152" i="21"/>
  <c r="O152" i="21"/>
  <c r="M152" i="21"/>
  <c r="K152" i="21"/>
  <c r="X151" i="21"/>
  <c r="W151" i="21"/>
  <c r="V151" i="21"/>
  <c r="U151" i="21"/>
  <c r="T151" i="21"/>
  <c r="S151" i="21"/>
  <c r="Q151" i="21"/>
  <c r="O151" i="21"/>
  <c r="M151" i="21"/>
  <c r="K151" i="21"/>
  <c r="X150" i="21"/>
  <c r="W150" i="21"/>
  <c r="V150" i="21"/>
  <c r="U150" i="21"/>
  <c r="T150" i="21"/>
  <c r="S150" i="21"/>
  <c r="Q150" i="21"/>
  <c r="O150" i="21"/>
  <c r="M150" i="21"/>
  <c r="K150" i="21"/>
  <c r="X149" i="21"/>
  <c r="W149" i="21"/>
  <c r="V149" i="21"/>
  <c r="U149" i="21"/>
  <c r="T149" i="21"/>
  <c r="S149" i="21"/>
  <c r="Q149" i="21"/>
  <c r="O149" i="21"/>
  <c r="M149" i="21"/>
  <c r="K149" i="21"/>
  <c r="X148" i="21"/>
  <c r="W148" i="21"/>
  <c r="V148" i="21"/>
  <c r="U148" i="21"/>
  <c r="T148" i="21"/>
  <c r="S148" i="21"/>
  <c r="Q148" i="21"/>
  <c r="O148" i="21"/>
  <c r="M148" i="21"/>
  <c r="K148" i="21"/>
  <c r="X147" i="21"/>
  <c r="W147" i="21"/>
  <c r="V147" i="21"/>
  <c r="U147" i="21"/>
  <c r="T147" i="21"/>
  <c r="S147" i="21"/>
  <c r="Q147" i="21"/>
  <c r="O147" i="21"/>
  <c r="M147" i="21"/>
  <c r="K147" i="21"/>
  <c r="X146" i="21"/>
  <c r="W146" i="21"/>
  <c r="V146" i="21"/>
  <c r="U146" i="21"/>
  <c r="T146" i="21"/>
  <c r="S146" i="21"/>
  <c r="Q146" i="21"/>
  <c r="O146" i="21"/>
  <c r="M146" i="21"/>
  <c r="K146" i="21"/>
  <c r="X145" i="21"/>
  <c r="W145" i="21"/>
  <c r="V145" i="21"/>
  <c r="U145" i="21"/>
  <c r="T145" i="21"/>
  <c r="S145" i="21"/>
  <c r="Q145" i="21"/>
  <c r="O145" i="21"/>
  <c r="M145" i="21"/>
  <c r="K145" i="21"/>
  <c r="X144" i="21"/>
  <c r="W144" i="21"/>
  <c r="V144" i="21"/>
  <c r="U144" i="21"/>
  <c r="T144" i="21"/>
  <c r="S144" i="21"/>
  <c r="Q144" i="21"/>
  <c r="O144" i="21"/>
  <c r="M144" i="21"/>
  <c r="K144" i="21"/>
  <c r="X143" i="21"/>
  <c r="W143" i="21"/>
  <c r="V143" i="21"/>
  <c r="U143" i="21"/>
  <c r="T143" i="21"/>
  <c r="S143" i="21"/>
  <c r="Q143" i="21"/>
  <c r="O143" i="21"/>
  <c r="M143" i="21"/>
  <c r="K143" i="21"/>
  <c r="X142" i="21"/>
  <c r="W142" i="21"/>
  <c r="V142" i="21"/>
  <c r="U142" i="21"/>
  <c r="T142" i="21"/>
  <c r="S142" i="21"/>
  <c r="Q142" i="21"/>
  <c r="O142" i="21"/>
  <c r="M142" i="21"/>
  <c r="K142" i="21"/>
  <c r="X141" i="21"/>
  <c r="W141" i="21"/>
  <c r="V141" i="21"/>
  <c r="U141" i="21"/>
  <c r="T141" i="21"/>
  <c r="S141" i="21"/>
  <c r="Q141" i="21"/>
  <c r="O141" i="21"/>
  <c r="M141" i="21"/>
  <c r="K141" i="21"/>
  <c r="X140" i="21"/>
  <c r="W140" i="21"/>
  <c r="V140" i="21"/>
  <c r="U140" i="21"/>
  <c r="T140" i="21"/>
  <c r="S140" i="21"/>
  <c r="Q140" i="21"/>
  <c r="O140" i="21"/>
  <c r="M140" i="21"/>
  <c r="K140" i="21"/>
  <c r="X139" i="21"/>
  <c r="W139" i="21"/>
  <c r="V139" i="21"/>
  <c r="U139" i="21"/>
  <c r="T139" i="21"/>
  <c r="S139" i="21"/>
  <c r="Q139" i="21"/>
  <c r="O139" i="21"/>
  <c r="M139" i="21"/>
  <c r="K139" i="21"/>
  <c r="X138" i="21"/>
  <c r="W138" i="21"/>
  <c r="V138" i="21"/>
  <c r="U138" i="21"/>
  <c r="T138" i="21"/>
  <c r="S138" i="21"/>
  <c r="Q138" i="21"/>
  <c r="O138" i="21"/>
  <c r="M138" i="21"/>
  <c r="K138" i="21"/>
  <c r="X137" i="21"/>
  <c r="W137" i="21"/>
  <c r="V137" i="21"/>
  <c r="U137" i="21"/>
  <c r="T137" i="21"/>
  <c r="S137" i="21"/>
  <c r="Q137" i="21"/>
  <c r="O137" i="21"/>
  <c r="M137" i="21"/>
  <c r="K137" i="21"/>
  <c r="X136" i="21"/>
  <c r="W136" i="21"/>
  <c r="V136" i="21"/>
  <c r="U136" i="21"/>
  <c r="T136" i="21"/>
  <c r="S136" i="21"/>
  <c r="Q136" i="21"/>
  <c r="O136" i="21"/>
  <c r="M136" i="21"/>
  <c r="K136" i="21"/>
  <c r="X135" i="21"/>
  <c r="W135" i="21"/>
  <c r="V135" i="21"/>
  <c r="U135" i="21"/>
  <c r="T135" i="21"/>
  <c r="S135" i="21"/>
  <c r="Q135" i="21"/>
  <c r="O135" i="21"/>
  <c r="M135" i="21"/>
  <c r="K135" i="21"/>
  <c r="X134" i="21"/>
  <c r="W134" i="21"/>
  <c r="V134" i="21"/>
  <c r="U134" i="21"/>
  <c r="T134" i="21"/>
  <c r="S134" i="21"/>
  <c r="Q134" i="21"/>
  <c r="O134" i="21"/>
  <c r="M134" i="21"/>
  <c r="K134" i="21"/>
  <c r="X133" i="21"/>
  <c r="W133" i="21"/>
  <c r="V133" i="21"/>
  <c r="U133" i="21"/>
  <c r="T133" i="21"/>
  <c r="S133" i="21"/>
  <c r="Q133" i="21"/>
  <c r="O133" i="21"/>
  <c r="M133" i="21"/>
  <c r="K133" i="21"/>
  <c r="X132" i="21"/>
  <c r="W132" i="21"/>
  <c r="V132" i="21"/>
  <c r="U132" i="21"/>
  <c r="T132" i="21"/>
  <c r="S132" i="21"/>
  <c r="Q132" i="21"/>
  <c r="O132" i="21"/>
  <c r="M132" i="21"/>
  <c r="K132" i="21"/>
  <c r="X131" i="21"/>
  <c r="W131" i="21"/>
  <c r="V131" i="21"/>
  <c r="U131" i="21"/>
  <c r="T131" i="21"/>
  <c r="S131" i="21"/>
  <c r="Q131" i="21"/>
  <c r="O131" i="21"/>
  <c r="M131" i="21"/>
  <c r="K131" i="21"/>
  <c r="X130" i="21"/>
  <c r="W130" i="21"/>
  <c r="V130" i="21"/>
  <c r="U130" i="21"/>
  <c r="T130" i="21"/>
  <c r="S130" i="21"/>
  <c r="Q130" i="21"/>
  <c r="O130" i="21"/>
  <c r="M130" i="21"/>
  <c r="K130" i="21"/>
  <c r="X129" i="21"/>
  <c r="W129" i="21"/>
  <c r="V129" i="21"/>
  <c r="U129" i="21"/>
  <c r="T129" i="21"/>
  <c r="S129" i="21"/>
  <c r="Q129" i="21"/>
  <c r="O129" i="21"/>
  <c r="M129" i="21"/>
  <c r="K129" i="21"/>
  <c r="X128" i="21"/>
  <c r="W128" i="21"/>
  <c r="V128" i="21"/>
  <c r="U128" i="21"/>
  <c r="T128" i="21"/>
  <c r="S128" i="21"/>
  <c r="Q128" i="21"/>
  <c r="O128" i="21"/>
  <c r="M128" i="21"/>
  <c r="K128" i="21"/>
  <c r="X127" i="21"/>
  <c r="W127" i="21"/>
  <c r="V127" i="21"/>
  <c r="U127" i="21"/>
  <c r="T127" i="21"/>
  <c r="S127" i="21"/>
  <c r="Q127" i="21"/>
  <c r="O127" i="21"/>
  <c r="M127" i="21"/>
  <c r="K127" i="21"/>
  <c r="X126" i="21"/>
  <c r="W126" i="21"/>
  <c r="V126" i="21"/>
  <c r="U126" i="21"/>
  <c r="T126" i="21"/>
  <c r="S126" i="21"/>
  <c r="Q126" i="21"/>
  <c r="O126" i="21"/>
  <c r="M126" i="21"/>
  <c r="K126" i="21"/>
  <c r="X125" i="21"/>
  <c r="W125" i="21"/>
  <c r="V125" i="21"/>
  <c r="U125" i="21"/>
  <c r="T125" i="21"/>
  <c r="S125" i="21"/>
  <c r="Q125" i="21"/>
  <c r="O125" i="21"/>
  <c r="M125" i="21"/>
  <c r="K125" i="21"/>
  <c r="X124" i="21"/>
  <c r="W124" i="21"/>
  <c r="V124" i="21"/>
  <c r="U124" i="21"/>
  <c r="T124" i="21"/>
  <c r="S124" i="21"/>
  <c r="Q124" i="21"/>
  <c r="O124" i="21"/>
  <c r="M124" i="21"/>
  <c r="K124" i="21"/>
  <c r="X123" i="21"/>
  <c r="W123" i="21"/>
  <c r="V123" i="21"/>
  <c r="U123" i="21"/>
  <c r="T123" i="21"/>
  <c r="S123" i="21"/>
  <c r="Q123" i="21"/>
  <c r="O123" i="21"/>
  <c r="M123" i="21"/>
  <c r="K123" i="21"/>
  <c r="X122" i="21"/>
  <c r="W122" i="21"/>
  <c r="V122" i="21"/>
  <c r="U122" i="21"/>
  <c r="T122" i="21"/>
  <c r="S122" i="21"/>
  <c r="Q122" i="21"/>
  <c r="O122" i="21"/>
  <c r="M122" i="21"/>
  <c r="K122" i="21"/>
  <c r="X121" i="21"/>
  <c r="W121" i="21"/>
  <c r="V121" i="21"/>
  <c r="U121" i="21"/>
  <c r="T121" i="21"/>
  <c r="S121" i="21"/>
  <c r="Q121" i="21"/>
  <c r="O121" i="21"/>
  <c r="M121" i="21"/>
  <c r="K121" i="21"/>
  <c r="X120" i="21"/>
  <c r="W120" i="21"/>
  <c r="V120" i="21"/>
  <c r="U120" i="21"/>
  <c r="T120" i="21"/>
  <c r="S120" i="21"/>
  <c r="Q120" i="21"/>
  <c r="O120" i="21"/>
  <c r="M120" i="21"/>
  <c r="K120" i="21"/>
  <c r="X119" i="21"/>
  <c r="W119" i="21"/>
  <c r="V119" i="21"/>
  <c r="U119" i="21"/>
  <c r="T119" i="21"/>
  <c r="S119" i="21"/>
  <c r="Q119" i="21"/>
  <c r="O119" i="21"/>
  <c r="M119" i="21"/>
  <c r="K119" i="21"/>
  <c r="X118" i="21"/>
  <c r="W118" i="21"/>
  <c r="V118" i="21"/>
  <c r="U118" i="21"/>
  <c r="T118" i="21"/>
  <c r="S118" i="21"/>
  <c r="Q118" i="21"/>
  <c r="O118" i="21"/>
  <c r="M118" i="21"/>
  <c r="K118" i="21"/>
  <c r="X117" i="21"/>
  <c r="W117" i="21"/>
  <c r="V117" i="21"/>
  <c r="U117" i="21"/>
  <c r="T117" i="21"/>
  <c r="S117" i="21"/>
  <c r="Q117" i="21"/>
  <c r="O117" i="21"/>
  <c r="M117" i="21"/>
  <c r="K117" i="21"/>
  <c r="X116" i="21"/>
  <c r="W116" i="21"/>
  <c r="V116" i="21"/>
  <c r="U116" i="21"/>
  <c r="T116" i="21"/>
  <c r="S116" i="21"/>
  <c r="Q116" i="21"/>
  <c r="O116" i="21"/>
  <c r="M116" i="21"/>
  <c r="K116" i="21"/>
  <c r="X115" i="21"/>
  <c r="W115" i="21"/>
  <c r="V115" i="21"/>
  <c r="U115" i="21"/>
  <c r="T115" i="21"/>
  <c r="S115" i="21"/>
  <c r="Q115" i="21"/>
  <c r="O115" i="21"/>
  <c r="M115" i="21"/>
  <c r="K115" i="21"/>
  <c r="X114" i="21"/>
  <c r="W114" i="21"/>
  <c r="V114" i="21"/>
  <c r="U114" i="21"/>
  <c r="T114" i="21"/>
  <c r="S114" i="21"/>
  <c r="Q114" i="21"/>
  <c r="O114" i="21"/>
  <c r="M114" i="21"/>
  <c r="K114" i="21"/>
  <c r="X113" i="21"/>
  <c r="W113" i="21"/>
  <c r="V113" i="21"/>
  <c r="U113" i="21"/>
  <c r="T113" i="21"/>
  <c r="S113" i="21"/>
  <c r="Q113" i="21"/>
  <c r="O113" i="21"/>
  <c r="M113" i="21"/>
  <c r="K113" i="21"/>
  <c r="X112" i="21"/>
  <c r="W112" i="21"/>
  <c r="V112" i="21"/>
  <c r="U112" i="21"/>
  <c r="T112" i="21"/>
  <c r="S112" i="21"/>
  <c r="Q112" i="21"/>
  <c r="O112" i="21"/>
  <c r="M112" i="21"/>
  <c r="K112" i="21"/>
  <c r="X111" i="21"/>
  <c r="W111" i="21"/>
  <c r="V111" i="21"/>
  <c r="U111" i="21"/>
  <c r="T111" i="21"/>
  <c r="S111" i="21"/>
  <c r="Q111" i="21"/>
  <c r="O111" i="21"/>
  <c r="M111" i="21"/>
  <c r="K111" i="21"/>
  <c r="X110" i="21"/>
  <c r="W110" i="21"/>
  <c r="V110" i="21"/>
  <c r="U110" i="21"/>
  <c r="T110" i="21"/>
  <c r="S110" i="21"/>
  <c r="Q110" i="21"/>
  <c r="O110" i="21"/>
  <c r="M110" i="21"/>
  <c r="K110" i="21"/>
  <c r="X109" i="21"/>
  <c r="W109" i="21"/>
  <c r="V109" i="21"/>
  <c r="U109" i="21"/>
  <c r="T109" i="21"/>
  <c r="S109" i="21"/>
  <c r="Q109" i="21"/>
  <c r="O109" i="21"/>
  <c r="M109" i="21"/>
  <c r="K109" i="21"/>
  <c r="X108" i="21"/>
  <c r="W108" i="21"/>
  <c r="V108" i="21"/>
  <c r="U108" i="21"/>
  <c r="T108" i="21"/>
  <c r="S108" i="21"/>
  <c r="Q108" i="21"/>
  <c r="O108" i="21"/>
  <c r="M108" i="21"/>
  <c r="K108" i="21"/>
  <c r="X107" i="21"/>
  <c r="W107" i="21"/>
  <c r="V107" i="21"/>
  <c r="U107" i="21"/>
  <c r="T107" i="21"/>
  <c r="S107" i="21"/>
  <c r="Q107" i="21"/>
  <c r="O107" i="21"/>
  <c r="M107" i="21"/>
  <c r="K107" i="21"/>
  <c r="X106" i="21"/>
  <c r="W106" i="21"/>
  <c r="V106" i="21"/>
  <c r="U106" i="21"/>
  <c r="T106" i="21"/>
  <c r="S106" i="21"/>
  <c r="Q106" i="21"/>
  <c r="O106" i="21"/>
  <c r="M106" i="21"/>
  <c r="K106" i="21"/>
  <c r="X105" i="21"/>
  <c r="W105" i="21"/>
  <c r="V105" i="21"/>
  <c r="U105" i="21"/>
  <c r="T105" i="21"/>
  <c r="S105" i="21"/>
  <c r="Q105" i="21"/>
  <c r="O105" i="21"/>
  <c r="M105" i="21"/>
  <c r="K105" i="21"/>
  <c r="X104" i="21"/>
  <c r="W104" i="21"/>
  <c r="V104" i="21"/>
  <c r="U104" i="21"/>
  <c r="T104" i="21"/>
  <c r="S104" i="21"/>
  <c r="Q104" i="21"/>
  <c r="O104" i="21"/>
  <c r="M104" i="21"/>
  <c r="K104" i="21"/>
  <c r="X103" i="21"/>
  <c r="W103" i="21"/>
  <c r="V103" i="21"/>
  <c r="U103" i="21"/>
  <c r="T103" i="21"/>
  <c r="S103" i="21"/>
  <c r="Q103" i="21"/>
  <c r="O103" i="21"/>
  <c r="M103" i="21"/>
  <c r="K103" i="21"/>
  <c r="X102" i="21"/>
  <c r="W102" i="21"/>
  <c r="V102" i="21"/>
  <c r="U102" i="21"/>
  <c r="T102" i="21"/>
  <c r="S102" i="21"/>
  <c r="Q102" i="21"/>
  <c r="O102" i="21"/>
  <c r="M102" i="21"/>
  <c r="K102" i="21"/>
  <c r="X101" i="21"/>
  <c r="W101" i="21"/>
  <c r="V101" i="21"/>
  <c r="U101" i="21"/>
  <c r="T101" i="21"/>
  <c r="S101" i="21"/>
  <c r="Q101" i="21"/>
  <c r="O101" i="21"/>
  <c r="M101" i="21"/>
  <c r="K101" i="21"/>
  <c r="X100" i="21"/>
  <c r="W100" i="21"/>
  <c r="V100" i="21"/>
  <c r="U100" i="21"/>
  <c r="T100" i="21"/>
  <c r="S100" i="21"/>
  <c r="Q100" i="21"/>
  <c r="O100" i="21"/>
  <c r="M100" i="21"/>
  <c r="K100" i="21"/>
  <c r="X99" i="21"/>
  <c r="W99" i="21"/>
  <c r="V99" i="21"/>
  <c r="U99" i="21"/>
  <c r="T99" i="21"/>
  <c r="S99" i="21"/>
  <c r="Q99" i="21"/>
  <c r="O99" i="21"/>
  <c r="M99" i="21"/>
  <c r="K99" i="21"/>
  <c r="X98" i="21"/>
  <c r="W98" i="21"/>
  <c r="V98" i="21"/>
  <c r="U98" i="21"/>
  <c r="T98" i="21"/>
  <c r="S98" i="21"/>
  <c r="Q98" i="21"/>
  <c r="O98" i="21"/>
  <c r="M98" i="21"/>
  <c r="K98" i="21"/>
  <c r="X97" i="21"/>
  <c r="W97" i="21"/>
  <c r="V97" i="21"/>
  <c r="U97" i="21"/>
  <c r="T97" i="21"/>
  <c r="S97" i="21"/>
  <c r="Q97" i="21"/>
  <c r="O97" i="21"/>
  <c r="M97" i="21"/>
  <c r="K97" i="21"/>
  <c r="X96" i="21"/>
  <c r="W96" i="21"/>
  <c r="V96" i="21"/>
  <c r="U96" i="21"/>
  <c r="T96" i="21"/>
  <c r="S96" i="21"/>
  <c r="Q96" i="21"/>
  <c r="O96" i="21"/>
  <c r="M96" i="21"/>
  <c r="K96" i="21"/>
  <c r="X95" i="21"/>
  <c r="W95" i="21"/>
  <c r="V95" i="21"/>
  <c r="U95" i="21"/>
  <c r="T95" i="21"/>
  <c r="S95" i="21"/>
  <c r="Q95" i="21"/>
  <c r="O95" i="21"/>
  <c r="M95" i="21"/>
  <c r="K95" i="21"/>
  <c r="X94" i="21"/>
  <c r="W94" i="21"/>
  <c r="V94" i="21"/>
  <c r="U94" i="21"/>
  <c r="T94" i="21"/>
  <c r="S94" i="21"/>
  <c r="Q94" i="21"/>
  <c r="O94" i="21"/>
  <c r="M94" i="21"/>
  <c r="K94" i="21"/>
  <c r="X93" i="21"/>
  <c r="W93" i="21"/>
  <c r="V93" i="21"/>
  <c r="U93" i="21"/>
  <c r="T93" i="21"/>
  <c r="S93" i="21"/>
  <c r="Q93" i="21"/>
  <c r="O93" i="21"/>
  <c r="M93" i="21"/>
  <c r="K93" i="21"/>
  <c r="X92" i="21"/>
  <c r="W92" i="21"/>
  <c r="V92" i="21"/>
  <c r="U92" i="21"/>
  <c r="T92" i="21"/>
  <c r="S92" i="21"/>
  <c r="Q92" i="21"/>
  <c r="O92" i="21"/>
  <c r="M92" i="21"/>
  <c r="K92" i="21"/>
  <c r="X91" i="21"/>
  <c r="W91" i="21"/>
  <c r="V91" i="21"/>
  <c r="U91" i="21"/>
  <c r="T91" i="21"/>
  <c r="S91" i="21"/>
  <c r="Q91" i="21"/>
  <c r="O91" i="21"/>
  <c r="M91" i="21"/>
  <c r="K91" i="21"/>
  <c r="X90" i="21"/>
  <c r="W90" i="21"/>
  <c r="V90" i="21"/>
  <c r="U90" i="21"/>
  <c r="T90" i="21"/>
  <c r="S90" i="21"/>
  <c r="Q90" i="21"/>
  <c r="O90" i="21"/>
  <c r="M90" i="21"/>
  <c r="K90" i="21"/>
  <c r="X89" i="21"/>
  <c r="W89" i="21"/>
  <c r="V89" i="21"/>
  <c r="U89" i="21"/>
  <c r="T89" i="21"/>
  <c r="S89" i="21"/>
  <c r="Q89" i="21"/>
  <c r="O89" i="21"/>
  <c r="M89" i="21"/>
  <c r="K89" i="21"/>
  <c r="X88" i="21"/>
  <c r="W88" i="21"/>
  <c r="V88" i="21"/>
  <c r="U88" i="21"/>
  <c r="T88" i="21"/>
  <c r="S88" i="21"/>
  <c r="Q88" i="21"/>
  <c r="O88" i="21"/>
  <c r="M88" i="21"/>
  <c r="K88" i="21"/>
  <c r="X87" i="21"/>
  <c r="W87" i="21"/>
  <c r="V87" i="21"/>
  <c r="U87" i="21"/>
  <c r="T87" i="21"/>
  <c r="S87" i="21"/>
  <c r="Q87" i="21"/>
  <c r="O87" i="21"/>
  <c r="M87" i="21"/>
  <c r="K87" i="21"/>
  <c r="X86" i="21"/>
  <c r="W86" i="21"/>
  <c r="V86" i="21"/>
  <c r="U86" i="21"/>
  <c r="T86" i="21"/>
  <c r="S86" i="21"/>
  <c r="Q86" i="21"/>
  <c r="O86" i="21"/>
  <c r="M86" i="21"/>
  <c r="K86" i="21"/>
  <c r="X85" i="21"/>
  <c r="W85" i="21"/>
  <c r="V85" i="21"/>
  <c r="U85" i="21"/>
  <c r="T85" i="21"/>
  <c r="S85" i="21"/>
  <c r="Q85" i="21"/>
  <c r="O85" i="21"/>
  <c r="M85" i="21"/>
  <c r="K85" i="21"/>
  <c r="X84" i="21"/>
  <c r="W84" i="21"/>
  <c r="V84" i="21"/>
  <c r="U84" i="21"/>
  <c r="T84" i="21"/>
  <c r="S84" i="21"/>
  <c r="Q84" i="21"/>
  <c r="O84" i="21"/>
  <c r="M84" i="21"/>
  <c r="K84" i="21"/>
  <c r="X83" i="21"/>
  <c r="W83" i="21"/>
  <c r="V83" i="21"/>
  <c r="U83" i="21"/>
  <c r="T83" i="21"/>
  <c r="S83" i="21"/>
  <c r="Q83" i="21"/>
  <c r="O83" i="21"/>
  <c r="M83" i="21"/>
  <c r="K83" i="21"/>
  <c r="X82" i="21"/>
  <c r="W82" i="21"/>
  <c r="V82" i="21"/>
  <c r="U82" i="21"/>
  <c r="T82" i="21"/>
  <c r="S82" i="21"/>
  <c r="Q82" i="21"/>
  <c r="O82" i="21"/>
  <c r="M82" i="21"/>
  <c r="K82" i="21"/>
  <c r="X81" i="21"/>
  <c r="W81" i="21"/>
  <c r="V81" i="21"/>
  <c r="U81" i="21"/>
  <c r="T81" i="21"/>
  <c r="S81" i="21"/>
  <c r="Q81" i="21"/>
  <c r="O81" i="21"/>
  <c r="M81" i="21"/>
  <c r="K81" i="21"/>
  <c r="X80" i="21"/>
  <c r="W80" i="21"/>
  <c r="V80" i="21"/>
  <c r="U80" i="21"/>
  <c r="T80" i="21"/>
  <c r="S80" i="21"/>
  <c r="Q80" i="21"/>
  <c r="O80" i="21"/>
  <c r="M80" i="21"/>
  <c r="K80" i="21"/>
  <c r="X79" i="21"/>
  <c r="W79" i="21"/>
  <c r="V79" i="21"/>
  <c r="U79" i="21"/>
  <c r="T79" i="21"/>
  <c r="S79" i="21"/>
  <c r="Q79" i="21"/>
  <c r="O79" i="21"/>
  <c r="M79" i="21"/>
  <c r="K79" i="21"/>
  <c r="X78" i="21"/>
  <c r="W78" i="21"/>
  <c r="V78" i="21"/>
  <c r="U78" i="21"/>
  <c r="T78" i="21"/>
  <c r="S78" i="21"/>
  <c r="Q78" i="21"/>
  <c r="O78" i="21"/>
  <c r="M78" i="21"/>
  <c r="K78" i="21"/>
  <c r="X77" i="21"/>
  <c r="W77" i="21"/>
  <c r="V77" i="21"/>
  <c r="U77" i="21"/>
  <c r="T77" i="21"/>
  <c r="S77" i="21"/>
  <c r="Q77" i="21"/>
  <c r="O77" i="21"/>
  <c r="M77" i="21"/>
  <c r="K77" i="21"/>
  <c r="X76" i="21"/>
  <c r="W76" i="21"/>
  <c r="V76" i="21"/>
  <c r="U76" i="21"/>
  <c r="T76" i="21"/>
  <c r="S76" i="21"/>
  <c r="Q76" i="21"/>
  <c r="O76" i="21"/>
  <c r="M76" i="21"/>
  <c r="K76" i="21"/>
  <c r="X75" i="21"/>
  <c r="W75" i="21"/>
  <c r="V75" i="21"/>
  <c r="U75" i="21"/>
  <c r="T75" i="21"/>
  <c r="S75" i="21"/>
  <c r="Q75" i="21"/>
  <c r="O75" i="21"/>
  <c r="M75" i="21"/>
  <c r="K75" i="21"/>
  <c r="X74" i="21"/>
  <c r="W74" i="21"/>
  <c r="V74" i="21"/>
  <c r="U74" i="21"/>
  <c r="T74" i="21"/>
  <c r="S74" i="21"/>
  <c r="Q74" i="21"/>
  <c r="O74" i="21"/>
  <c r="M74" i="21"/>
  <c r="K74" i="21"/>
  <c r="X73" i="21"/>
  <c r="W73" i="21"/>
  <c r="V73" i="21"/>
  <c r="U73" i="21"/>
  <c r="T73" i="21"/>
  <c r="S73" i="21"/>
  <c r="Q73" i="21"/>
  <c r="O73" i="21"/>
  <c r="M73" i="21"/>
  <c r="K73" i="21"/>
  <c r="X72" i="21"/>
  <c r="W72" i="21"/>
  <c r="V72" i="21"/>
  <c r="U72" i="21"/>
  <c r="T72" i="21"/>
  <c r="S72" i="21"/>
  <c r="Q72" i="21"/>
  <c r="O72" i="21"/>
  <c r="M72" i="21"/>
  <c r="K72" i="21"/>
  <c r="X71" i="21"/>
  <c r="W71" i="21"/>
  <c r="V71" i="21"/>
  <c r="U71" i="21"/>
  <c r="T71" i="21"/>
  <c r="S71" i="21"/>
  <c r="Q71" i="21"/>
  <c r="O71" i="21"/>
  <c r="M71" i="21"/>
  <c r="K71" i="21"/>
  <c r="X70" i="21"/>
  <c r="W70" i="21"/>
  <c r="V70" i="21"/>
  <c r="U70" i="21"/>
  <c r="T70" i="21"/>
  <c r="S70" i="21"/>
  <c r="Q70" i="21"/>
  <c r="O70" i="21"/>
  <c r="M70" i="21"/>
  <c r="K70" i="21"/>
  <c r="X69" i="21"/>
  <c r="W69" i="21"/>
  <c r="V69" i="21"/>
  <c r="U69" i="21"/>
  <c r="T69" i="21"/>
  <c r="S69" i="21"/>
  <c r="Q69" i="21"/>
  <c r="O69" i="21"/>
  <c r="M69" i="21"/>
  <c r="K69" i="21"/>
  <c r="X68" i="21"/>
  <c r="W68" i="21"/>
  <c r="V68" i="21"/>
  <c r="U68" i="21"/>
  <c r="T68" i="21"/>
  <c r="S68" i="21"/>
  <c r="Q68" i="21"/>
  <c r="O68" i="21"/>
  <c r="M68" i="21"/>
  <c r="K68" i="21"/>
  <c r="X67" i="21"/>
  <c r="W67" i="21"/>
  <c r="V67" i="21"/>
  <c r="U67" i="21"/>
  <c r="T67" i="21"/>
  <c r="S67" i="21"/>
  <c r="Q67" i="21"/>
  <c r="O67" i="21"/>
  <c r="M67" i="21"/>
  <c r="K67" i="21"/>
  <c r="X66" i="21"/>
  <c r="W66" i="21"/>
  <c r="V66" i="21"/>
  <c r="U66" i="21"/>
  <c r="T66" i="21"/>
  <c r="S66" i="21"/>
  <c r="Q66" i="21"/>
  <c r="O66" i="21"/>
  <c r="M66" i="21"/>
  <c r="K66" i="21"/>
  <c r="X65" i="21"/>
  <c r="W65" i="21"/>
  <c r="V65" i="21"/>
  <c r="U65" i="21"/>
  <c r="T65" i="21"/>
  <c r="S65" i="21"/>
  <c r="Q65" i="21"/>
  <c r="O65" i="21"/>
  <c r="M65" i="21"/>
  <c r="K65" i="21"/>
  <c r="X64" i="21"/>
  <c r="W64" i="21"/>
  <c r="V64" i="21"/>
  <c r="U64" i="21"/>
  <c r="T64" i="21"/>
  <c r="S64" i="21"/>
  <c r="Q64" i="21"/>
  <c r="O64" i="21"/>
  <c r="M64" i="21"/>
  <c r="K64" i="21"/>
  <c r="X63" i="21"/>
  <c r="W63" i="21"/>
  <c r="V63" i="21"/>
  <c r="U63" i="21"/>
  <c r="T63" i="21"/>
  <c r="S63" i="21"/>
  <c r="Q63" i="21"/>
  <c r="O63" i="21"/>
  <c r="M63" i="21"/>
  <c r="K63" i="21"/>
  <c r="X62" i="21"/>
  <c r="W62" i="21"/>
  <c r="V62" i="21"/>
  <c r="U62" i="21"/>
  <c r="T62" i="21"/>
  <c r="S62" i="21"/>
  <c r="Q62" i="21"/>
  <c r="O62" i="21"/>
  <c r="M62" i="21"/>
  <c r="K62" i="21"/>
  <c r="X61" i="21"/>
  <c r="W61" i="21"/>
  <c r="V61" i="21"/>
  <c r="U61" i="21"/>
  <c r="T61" i="21"/>
  <c r="S61" i="21"/>
  <c r="Q61" i="21"/>
  <c r="O61" i="21"/>
  <c r="M61" i="21"/>
  <c r="K61" i="21"/>
  <c r="X60" i="21"/>
  <c r="W60" i="21"/>
  <c r="V60" i="21"/>
  <c r="U60" i="21"/>
  <c r="T60" i="21"/>
  <c r="S60" i="21"/>
  <c r="Q60" i="21"/>
  <c r="O60" i="21"/>
  <c r="M60" i="21"/>
  <c r="K60" i="21"/>
  <c r="X59" i="21"/>
  <c r="W59" i="21"/>
  <c r="V59" i="21"/>
  <c r="U59" i="21"/>
  <c r="T59" i="21"/>
  <c r="S59" i="21"/>
  <c r="Q59" i="21"/>
  <c r="O59" i="21"/>
  <c r="M59" i="21"/>
  <c r="K59" i="21"/>
  <c r="X58" i="21"/>
  <c r="W58" i="21"/>
  <c r="V58" i="21"/>
  <c r="U58" i="21"/>
  <c r="T58" i="21"/>
  <c r="S58" i="21"/>
  <c r="Q58" i="21"/>
  <c r="O58" i="21"/>
  <c r="M58" i="21"/>
  <c r="K58" i="21"/>
  <c r="X57" i="21"/>
  <c r="W57" i="21"/>
  <c r="V57" i="21"/>
  <c r="U57" i="21"/>
  <c r="T57" i="21"/>
  <c r="S57" i="21"/>
  <c r="Q57" i="21"/>
  <c r="O57" i="21"/>
  <c r="M57" i="21"/>
  <c r="K57" i="21"/>
  <c r="X56" i="21"/>
  <c r="W56" i="21"/>
  <c r="V56" i="21"/>
  <c r="U56" i="21"/>
  <c r="T56" i="21"/>
  <c r="S56" i="21"/>
  <c r="Q56" i="21"/>
  <c r="O56" i="21"/>
  <c r="M56" i="21"/>
  <c r="K56" i="21"/>
  <c r="X55" i="21"/>
  <c r="W55" i="21"/>
  <c r="V55" i="21"/>
  <c r="U55" i="21"/>
  <c r="T55" i="21"/>
  <c r="S55" i="21"/>
  <c r="Q55" i="21"/>
  <c r="O55" i="21"/>
  <c r="M55" i="21"/>
  <c r="K55" i="21"/>
  <c r="X54" i="21"/>
  <c r="W54" i="21"/>
  <c r="V54" i="21"/>
  <c r="U54" i="21"/>
  <c r="T54" i="21"/>
  <c r="S54" i="21"/>
  <c r="Q54" i="21"/>
  <c r="O54" i="21"/>
  <c r="M54" i="21"/>
  <c r="K54" i="21"/>
  <c r="X53" i="21"/>
  <c r="W53" i="21"/>
  <c r="V53" i="21"/>
  <c r="U53" i="21"/>
  <c r="T53" i="21"/>
  <c r="S53" i="21"/>
  <c r="Q53" i="21"/>
  <c r="O53" i="21"/>
  <c r="M53" i="21"/>
  <c r="K53" i="21"/>
  <c r="X52" i="21"/>
  <c r="W52" i="21"/>
  <c r="V52" i="21"/>
  <c r="U52" i="21"/>
  <c r="T52" i="21"/>
  <c r="S52" i="21"/>
  <c r="Q52" i="21"/>
  <c r="O52" i="21"/>
  <c r="M52" i="21"/>
  <c r="K52" i="21"/>
  <c r="X51" i="21"/>
  <c r="W51" i="21"/>
  <c r="V51" i="21"/>
  <c r="U51" i="21"/>
  <c r="T51" i="21"/>
  <c r="S51" i="21"/>
  <c r="Q51" i="21"/>
  <c r="O51" i="21"/>
  <c r="M51" i="21"/>
  <c r="K51" i="21"/>
  <c r="X50" i="21"/>
  <c r="W50" i="21"/>
  <c r="V50" i="21"/>
  <c r="U50" i="21"/>
  <c r="T50" i="21"/>
  <c r="S50" i="21"/>
  <c r="Q50" i="21"/>
  <c r="O50" i="21"/>
  <c r="M50" i="21"/>
  <c r="K50" i="21"/>
  <c r="X49" i="21"/>
  <c r="W49" i="21"/>
  <c r="V49" i="21"/>
  <c r="U49" i="21"/>
  <c r="T49" i="21"/>
  <c r="S49" i="21"/>
  <c r="Q49" i="21"/>
  <c r="O49" i="21"/>
  <c r="M49" i="21"/>
  <c r="K49" i="21"/>
  <c r="X48" i="21"/>
  <c r="W48" i="21"/>
  <c r="V48" i="21"/>
  <c r="U48" i="21"/>
  <c r="T48" i="21"/>
  <c r="S48" i="21"/>
  <c r="Q48" i="21"/>
  <c r="O48" i="21"/>
  <c r="M48" i="21"/>
  <c r="K48" i="21"/>
  <c r="X47" i="21"/>
  <c r="W47" i="21"/>
  <c r="V47" i="21"/>
  <c r="U47" i="21"/>
  <c r="T47" i="21"/>
  <c r="S47" i="21"/>
  <c r="Q47" i="21"/>
  <c r="O47" i="21"/>
  <c r="M47" i="21"/>
  <c r="K47" i="21"/>
  <c r="X46" i="21"/>
  <c r="W46" i="21"/>
  <c r="V46" i="21"/>
  <c r="U46" i="21"/>
  <c r="T46" i="21"/>
  <c r="S46" i="21"/>
  <c r="Q46" i="21"/>
  <c r="O46" i="21"/>
  <c r="M46" i="21"/>
  <c r="K46" i="21"/>
  <c r="X45" i="21"/>
  <c r="W45" i="21"/>
  <c r="V45" i="21"/>
  <c r="U45" i="21"/>
  <c r="T45" i="21"/>
  <c r="S45" i="21"/>
  <c r="Q45" i="21"/>
  <c r="O45" i="21"/>
  <c r="M45" i="21"/>
  <c r="K45" i="21"/>
  <c r="X44" i="21"/>
  <c r="W44" i="21"/>
  <c r="V44" i="21"/>
  <c r="U44" i="21"/>
  <c r="T44" i="21"/>
  <c r="S44" i="21"/>
  <c r="Q44" i="21"/>
  <c r="O44" i="21"/>
  <c r="M44" i="21"/>
  <c r="K44" i="21"/>
  <c r="X43" i="21"/>
  <c r="W43" i="21"/>
  <c r="V43" i="21"/>
  <c r="U43" i="21"/>
  <c r="T43" i="21"/>
  <c r="S43" i="21"/>
  <c r="Q43" i="21"/>
  <c r="O43" i="21"/>
  <c r="M43" i="21"/>
  <c r="K43" i="21"/>
  <c r="X42" i="21"/>
  <c r="W42" i="21"/>
  <c r="V42" i="21"/>
  <c r="U42" i="21"/>
  <c r="T42" i="21"/>
  <c r="S42" i="21"/>
  <c r="Q42" i="21"/>
  <c r="O42" i="21"/>
  <c r="M42" i="21"/>
  <c r="K42" i="21"/>
  <c r="X41" i="21"/>
  <c r="W41" i="21"/>
  <c r="V41" i="21"/>
  <c r="U41" i="21"/>
  <c r="T41" i="21"/>
  <c r="S41" i="21"/>
  <c r="Q41" i="21"/>
  <c r="O41" i="21"/>
  <c r="M41" i="21"/>
  <c r="K41" i="21"/>
  <c r="X40" i="21"/>
  <c r="W40" i="21"/>
  <c r="V40" i="21"/>
  <c r="U40" i="21"/>
  <c r="T40" i="21"/>
  <c r="S40" i="21"/>
  <c r="Q40" i="21"/>
  <c r="O40" i="21"/>
  <c r="M40" i="21"/>
  <c r="K40" i="21"/>
  <c r="X39" i="21"/>
  <c r="W39" i="21"/>
  <c r="V39" i="21"/>
  <c r="U39" i="21"/>
  <c r="T39" i="21"/>
  <c r="S39" i="21"/>
  <c r="Q39" i="21"/>
  <c r="O39" i="21"/>
  <c r="M39" i="21"/>
  <c r="K39" i="21"/>
  <c r="X38" i="21"/>
  <c r="W38" i="21"/>
  <c r="V38" i="21"/>
  <c r="U38" i="21"/>
  <c r="T38" i="21"/>
  <c r="S38" i="21"/>
  <c r="Q38" i="21"/>
  <c r="O38" i="21"/>
  <c r="M38" i="21"/>
  <c r="K38" i="21"/>
  <c r="X37" i="21"/>
  <c r="W37" i="21"/>
  <c r="V37" i="21"/>
  <c r="U37" i="21"/>
  <c r="T37" i="21"/>
  <c r="S37" i="21"/>
  <c r="Q37" i="21"/>
  <c r="O37" i="21"/>
  <c r="M37" i="21"/>
  <c r="K37" i="21"/>
  <c r="X36" i="21"/>
  <c r="W36" i="21"/>
  <c r="V36" i="21"/>
  <c r="U36" i="21"/>
  <c r="T36" i="21"/>
  <c r="S36" i="21"/>
  <c r="Q36" i="21"/>
  <c r="O36" i="21"/>
  <c r="M36" i="21"/>
  <c r="K36" i="21"/>
  <c r="X35" i="21"/>
  <c r="W35" i="21"/>
  <c r="V35" i="21"/>
  <c r="U35" i="21"/>
  <c r="T35" i="21"/>
  <c r="S35" i="21"/>
  <c r="Q35" i="21"/>
  <c r="O35" i="21"/>
  <c r="M35" i="21"/>
  <c r="K35" i="21"/>
  <c r="X34" i="21"/>
  <c r="W34" i="21"/>
  <c r="V34" i="21"/>
  <c r="U34" i="21"/>
  <c r="T34" i="21"/>
  <c r="S34" i="21"/>
  <c r="Q34" i="21"/>
  <c r="O34" i="21"/>
  <c r="M34" i="21"/>
  <c r="K34" i="21"/>
  <c r="X33" i="21"/>
  <c r="W33" i="21"/>
  <c r="V33" i="21"/>
  <c r="U33" i="21"/>
  <c r="T33" i="21"/>
  <c r="S33" i="21"/>
  <c r="Q33" i="21"/>
  <c r="O33" i="21"/>
  <c r="M33" i="21"/>
  <c r="K33" i="21"/>
  <c r="X32" i="21"/>
  <c r="W32" i="21"/>
  <c r="V32" i="21"/>
  <c r="U32" i="21"/>
  <c r="T32" i="21"/>
  <c r="S32" i="21"/>
  <c r="Q32" i="21"/>
  <c r="O32" i="21"/>
  <c r="M32" i="21"/>
  <c r="K32" i="21"/>
  <c r="X31" i="21"/>
  <c r="W31" i="21"/>
  <c r="V31" i="21"/>
  <c r="U31" i="21"/>
  <c r="T31" i="21"/>
  <c r="S31" i="21"/>
  <c r="Q31" i="21"/>
  <c r="O31" i="21"/>
  <c r="M31" i="21"/>
  <c r="K31" i="21"/>
  <c r="X30" i="21"/>
  <c r="W30" i="21"/>
  <c r="V30" i="21"/>
  <c r="U30" i="21"/>
  <c r="T30" i="21"/>
  <c r="S30" i="21"/>
  <c r="Q30" i="21"/>
  <c r="O30" i="21"/>
  <c r="M30" i="21"/>
  <c r="K30" i="21"/>
  <c r="X29" i="21"/>
  <c r="W29" i="21"/>
  <c r="V29" i="21"/>
  <c r="U29" i="21"/>
  <c r="T29" i="21"/>
  <c r="S29" i="21"/>
  <c r="Q29" i="21"/>
  <c r="O29" i="21"/>
  <c r="M29" i="21"/>
  <c r="K29" i="21"/>
  <c r="X28" i="21"/>
  <c r="W28" i="21"/>
  <c r="V28" i="21"/>
  <c r="U28" i="21"/>
  <c r="T28" i="21"/>
  <c r="S28" i="21"/>
  <c r="Q28" i="21"/>
  <c r="O28" i="21"/>
  <c r="M28" i="21"/>
  <c r="K28" i="21"/>
  <c r="X27" i="21"/>
  <c r="W27" i="21"/>
  <c r="V27" i="21"/>
  <c r="U27" i="21"/>
  <c r="T27" i="21"/>
  <c r="S27" i="21"/>
  <c r="Q27" i="21"/>
  <c r="O27" i="21"/>
  <c r="M27" i="21"/>
  <c r="K27" i="21"/>
  <c r="X26" i="21"/>
  <c r="W26" i="21"/>
  <c r="V26" i="21"/>
  <c r="U26" i="21"/>
  <c r="T26" i="21"/>
  <c r="S26" i="21"/>
  <c r="Q26" i="21"/>
  <c r="O26" i="21"/>
  <c r="M26" i="21"/>
  <c r="K26" i="21"/>
  <c r="X25" i="21"/>
  <c r="W25" i="21"/>
  <c r="V25" i="21"/>
  <c r="U25" i="21"/>
  <c r="T25" i="21"/>
  <c r="S25" i="21"/>
  <c r="Q25" i="21"/>
  <c r="O25" i="21"/>
  <c r="M25" i="21"/>
  <c r="K25" i="21"/>
  <c r="X24" i="21"/>
  <c r="W24" i="21"/>
  <c r="V24" i="21"/>
  <c r="U24" i="21"/>
  <c r="T24" i="21"/>
  <c r="S24" i="21"/>
  <c r="Q24" i="21"/>
  <c r="O24" i="21"/>
  <c r="M24" i="21"/>
  <c r="K24" i="21"/>
  <c r="X23" i="21"/>
  <c r="W23" i="21"/>
  <c r="V23" i="21"/>
  <c r="U23" i="21"/>
  <c r="T23" i="21"/>
  <c r="S23" i="21"/>
  <c r="Q23" i="21"/>
  <c r="O23" i="21"/>
  <c r="M23" i="21"/>
  <c r="K23" i="21"/>
  <c r="X22" i="21"/>
  <c r="W22" i="21"/>
  <c r="V22" i="21"/>
  <c r="U22" i="21"/>
  <c r="T22" i="21"/>
  <c r="S22" i="21"/>
  <c r="Q22" i="21"/>
  <c r="O22" i="21"/>
  <c r="M22" i="21"/>
  <c r="K22" i="21"/>
  <c r="X21" i="21"/>
  <c r="W21" i="21"/>
  <c r="V21" i="21"/>
  <c r="U21" i="21"/>
  <c r="T21" i="21"/>
  <c r="S21" i="21"/>
  <c r="Q21" i="21"/>
  <c r="O21" i="21"/>
  <c r="M21" i="21"/>
  <c r="K21" i="21"/>
  <c r="X20" i="21"/>
  <c r="W20" i="21"/>
  <c r="V20" i="21"/>
  <c r="U20" i="21"/>
  <c r="T20" i="21"/>
  <c r="S20" i="21"/>
  <c r="Q20" i="21"/>
  <c r="O20" i="21"/>
  <c r="M20" i="21"/>
  <c r="K20" i="21"/>
  <c r="X19" i="21"/>
  <c r="W19" i="21"/>
  <c r="V19" i="21"/>
  <c r="U19" i="21"/>
  <c r="T19" i="21"/>
  <c r="S19" i="21"/>
  <c r="Q19" i="21"/>
  <c r="O19" i="21"/>
  <c r="M19" i="21"/>
  <c r="K19" i="21"/>
  <c r="X18" i="21"/>
  <c r="W18" i="21"/>
  <c r="V18" i="21"/>
  <c r="U18" i="21"/>
  <c r="T18" i="21"/>
  <c r="S18" i="21"/>
  <c r="Q18" i="21"/>
  <c r="O18" i="21"/>
  <c r="M18" i="21"/>
  <c r="K18" i="21"/>
  <c r="X17" i="21"/>
  <c r="W17" i="21"/>
  <c r="V17" i="21"/>
  <c r="U17" i="21"/>
  <c r="T17" i="21"/>
  <c r="S17" i="21"/>
  <c r="Q17" i="21"/>
  <c r="O17" i="21"/>
  <c r="M17" i="21"/>
  <c r="K17" i="21"/>
  <c r="X16" i="21"/>
  <c r="W16" i="21"/>
  <c r="V16" i="21"/>
  <c r="U16" i="21"/>
  <c r="T16" i="21"/>
  <c r="S16" i="21"/>
  <c r="Q16" i="21"/>
  <c r="O16" i="21"/>
  <c r="M16" i="21"/>
  <c r="K16" i="21"/>
  <c r="X15" i="21"/>
  <c r="W15" i="21"/>
  <c r="V15" i="21"/>
  <c r="U15" i="21"/>
  <c r="T15" i="21"/>
  <c r="S15" i="21"/>
  <c r="Q15" i="21"/>
  <c r="O15" i="21"/>
  <c r="M15" i="21"/>
  <c r="K15" i="21"/>
  <c r="X14" i="21"/>
  <c r="W14" i="21"/>
  <c r="V14" i="21"/>
  <c r="U14" i="21"/>
  <c r="T14" i="21"/>
  <c r="S14" i="21"/>
  <c r="Q14" i="21"/>
  <c r="O14" i="21"/>
  <c r="M14" i="21"/>
  <c r="K14" i="21"/>
  <c r="X13" i="21"/>
  <c r="W13" i="21"/>
  <c r="V13" i="21"/>
  <c r="U13" i="21"/>
  <c r="T13" i="21"/>
  <c r="S13" i="21"/>
  <c r="Q13" i="21"/>
  <c r="O13" i="21"/>
  <c r="M13" i="21"/>
  <c r="K13" i="21"/>
  <c r="X12" i="21"/>
  <c r="W12" i="21"/>
  <c r="V12" i="21"/>
  <c r="U12" i="21"/>
  <c r="T12" i="21"/>
  <c r="S12" i="21"/>
  <c r="Q12" i="21"/>
  <c r="O12" i="21"/>
  <c r="M12" i="21"/>
  <c r="K12" i="21"/>
  <c r="X11" i="21"/>
  <c r="W11" i="21"/>
  <c r="V11" i="21"/>
  <c r="U11" i="21"/>
  <c r="T11" i="21"/>
  <c r="S11" i="21"/>
  <c r="Q11" i="21"/>
  <c r="O11" i="21"/>
  <c r="M11" i="21"/>
  <c r="K11" i="21"/>
  <c r="X10" i="21"/>
  <c r="W10" i="21"/>
  <c r="V10" i="21"/>
  <c r="U10" i="21"/>
  <c r="T10" i="21"/>
  <c r="S10" i="21"/>
  <c r="Q10" i="21"/>
  <c r="O10" i="21"/>
  <c r="M10" i="21"/>
  <c r="K10" i="21"/>
  <c r="X9" i="21"/>
  <c r="W9" i="21"/>
  <c r="V9" i="21"/>
  <c r="U9" i="21"/>
  <c r="T9" i="21"/>
  <c r="S9" i="21"/>
  <c r="Q9" i="21"/>
  <c r="O9" i="21"/>
  <c r="M9" i="21"/>
  <c r="K9" i="21"/>
  <c r="X8" i="21"/>
  <c r="W8" i="21"/>
  <c r="V8" i="21"/>
  <c r="U8" i="21"/>
  <c r="T8" i="21"/>
  <c r="S8" i="21"/>
  <c r="Q8" i="21"/>
  <c r="O8" i="21"/>
  <c r="M8" i="21"/>
  <c r="K8" i="21"/>
  <c r="X7" i="21"/>
  <c r="W7" i="21"/>
  <c r="V7" i="21"/>
  <c r="U7" i="21"/>
  <c r="T7" i="21"/>
  <c r="S7" i="21"/>
  <c r="Q7" i="21"/>
  <c r="O7" i="21"/>
  <c r="M7" i="21"/>
  <c r="K7" i="21"/>
  <c r="X309" i="20"/>
  <c r="W309" i="20"/>
  <c r="V309" i="20"/>
  <c r="U309" i="20"/>
  <c r="T309" i="20"/>
  <c r="S309" i="20"/>
  <c r="Q309" i="20"/>
  <c r="O309" i="20"/>
  <c r="M309" i="20"/>
  <c r="K309" i="20"/>
  <c r="X308" i="20"/>
  <c r="W308" i="20"/>
  <c r="V308" i="20"/>
  <c r="U308" i="20"/>
  <c r="T308" i="20"/>
  <c r="S308" i="20"/>
  <c r="Q308" i="20"/>
  <c r="O308" i="20"/>
  <c r="M308" i="20"/>
  <c r="K308" i="20"/>
  <c r="X307" i="20"/>
  <c r="W307" i="20"/>
  <c r="V307" i="20"/>
  <c r="U307" i="20"/>
  <c r="T307" i="20"/>
  <c r="S307" i="20"/>
  <c r="Q307" i="20"/>
  <c r="O307" i="20"/>
  <c r="M307" i="20"/>
  <c r="K307" i="20"/>
  <c r="X306" i="20"/>
  <c r="W306" i="20"/>
  <c r="V306" i="20"/>
  <c r="U306" i="20"/>
  <c r="T306" i="20"/>
  <c r="S306" i="20"/>
  <c r="Q306" i="20"/>
  <c r="O306" i="20"/>
  <c r="M306" i="20"/>
  <c r="K306" i="20"/>
  <c r="X305" i="20"/>
  <c r="W305" i="20"/>
  <c r="V305" i="20"/>
  <c r="U305" i="20"/>
  <c r="T305" i="20"/>
  <c r="S305" i="20"/>
  <c r="Q305" i="20"/>
  <c r="O305" i="20"/>
  <c r="M305" i="20"/>
  <c r="K305" i="20"/>
  <c r="X304" i="20"/>
  <c r="W304" i="20"/>
  <c r="V304" i="20"/>
  <c r="U304" i="20"/>
  <c r="T304" i="20"/>
  <c r="S304" i="20"/>
  <c r="Q304" i="20"/>
  <c r="O304" i="20"/>
  <c r="M304" i="20"/>
  <c r="K304" i="20"/>
  <c r="X303" i="20"/>
  <c r="W303" i="20"/>
  <c r="V303" i="20"/>
  <c r="U303" i="20"/>
  <c r="T303" i="20"/>
  <c r="S303" i="20"/>
  <c r="Q303" i="20"/>
  <c r="O303" i="20"/>
  <c r="M303" i="20"/>
  <c r="K303" i="20"/>
  <c r="X302" i="20"/>
  <c r="W302" i="20"/>
  <c r="V302" i="20"/>
  <c r="U302" i="20"/>
  <c r="T302" i="20"/>
  <c r="S302" i="20"/>
  <c r="Q302" i="20"/>
  <c r="O302" i="20"/>
  <c r="M302" i="20"/>
  <c r="K302" i="20"/>
  <c r="X301" i="20"/>
  <c r="W301" i="20"/>
  <c r="V301" i="20"/>
  <c r="U301" i="20"/>
  <c r="T301" i="20"/>
  <c r="S301" i="20"/>
  <c r="Q301" i="20"/>
  <c r="O301" i="20"/>
  <c r="M301" i="20"/>
  <c r="K301" i="20"/>
  <c r="X300" i="20"/>
  <c r="W300" i="20"/>
  <c r="V300" i="20"/>
  <c r="U300" i="20"/>
  <c r="T300" i="20"/>
  <c r="S300" i="20"/>
  <c r="Q300" i="20"/>
  <c r="O300" i="20"/>
  <c r="M300" i="20"/>
  <c r="K300" i="20"/>
  <c r="X299" i="20"/>
  <c r="W299" i="20"/>
  <c r="V299" i="20"/>
  <c r="U299" i="20"/>
  <c r="T299" i="20"/>
  <c r="S299" i="20"/>
  <c r="Q299" i="20"/>
  <c r="O299" i="20"/>
  <c r="M299" i="20"/>
  <c r="K299" i="20"/>
  <c r="X298" i="20"/>
  <c r="W298" i="20"/>
  <c r="V298" i="20"/>
  <c r="U298" i="20"/>
  <c r="T298" i="20"/>
  <c r="S298" i="20"/>
  <c r="Q298" i="20"/>
  <c r="O298" i="20"/>
  <c r="M298" i="20"/>
  <c r="K298" i="20"/>
  <c r="X297" i="20"/>
  <c r="W297" i="20"/>
  <c r="V297" i="20"/>
  <c r="U297" i="20"/>
  <c r="T297" i="20"/>
  <c r="S297" i="20"/>
  <c r="Q297" i="20"/>
  <c r="O297" i="20"/>
  <c r="M297" i="20"/>
  <c r="K297" i="20"/>
  <c r="X296" i="20"/>
  <c r="W296" i="20"/>
  <c r="V296" i="20"/>
  <c r="U296" i="20"/>
  <c r="T296" i="20"/>
  <c r="S296" i="20"/>
  <c r="Q296" i="20"/>
  <c r="O296" i="20"/>
  <c r="M296" i="20"/>
  <c r="K296" i="20"/>
  <c r="X295" i="20"/>
  <c r="W295" i="20"/>
  <c r="V295" i="20"/>
  <c r="U295" i="20"/>
  <c r="T295" i="20"/>
  <c r="S295" i="20"/>
  <c r="Q295" i="20"/>
  <c r="O295" i="20"/>
  <c r="M295" i="20"/>
  <c r="K295" i="20"/>
  <c r="X294" i="20"/>
  <c r="W294" i="20"/>
  <c r="V294" i="20"/>
  <c r="U294" i="20"/>
  <c r="T294" i="20"/>
  <c r="S294" i="20"/>
  <c r="Q294" i="20"/>
  <c r="O294" i="20"/>
  <c r="M294" i="20"/>
  <c r="K294" i="20"/>
  <c r="X293" i="20"/>
  <c r="W293" i="20"/>
  <c r="V293" i="20"/>
  <c r="U293" i="20"/>
  <c r="T293" i="20"/>
  <c r="S293" i="20"/>
  <c r="Q293" i="20"/>
  <c r="O293" i="20"/>
  <c r="M293" i="20"/>
  <c r="K293" i="20"/>
  <c r="X292" i="20"/>
  <c r="W292" i="20"/>
  <c r="V292" i="20"/>
  <c r="U292" i="20"/>
  <c r="T292" i="20"/>
  <c r="S292" i="20"/>
  <c r="Q292" i="20"/>
  <c r="O292" i="20"/>
  <c r="M292" i="20"/>
  <c r="K292" i="20"/>
  <c r="X291" i="20"/>
  <c r="W291" i="20"/>
  <c r="V291" i="20"/>
  <c r="U291" i="20"/>
  <c r="T291" i="20"/>
  <c r="S291" i="20"/>
  <c r="Q291" i="20"/>
  <c r="O291" i="20"/>
  <c r="M291" i="20"/>
  <c r="K291" i="20"/>
  <c r="X290" i="20"/>
  <c r="W290" i="20"/>
  <c r="V290" i="20"/>
  <c r="U290" i="20"/>
  <c r="T290" i="20"/>
  <c r="S290" i="20"/>
  <c r="Q290" i="20"/>
  <c r="O290" i="20"/>
  <c r="M290" i="20"/>
  <c r="K290" i="20"/>
  <c r="X289" i="20"/>
  <c r="W289" i="20"/>
  <c r="V289" i="20"/>
  <c r="U289" i="20"/>
  <c r="T289" i="20"/>
  <c r="S289" i="20"/>
  <c r="Q289" i="20"/>
  <c r="O289" i="20"/>
  <c r="M289" i="20"/>
  <c r="K289" i="20"/>
  <c r="X288" i="20"/>
  <c r="W288" i="20"/>
  <c r="V288" i="20"/>
  <c r="U288" i="20"/>
  <c r="T288" i="20"/>
  <c r="S288" i="20"/>
  <c r="Q288" i="20"/>
  <c r="O288" i="20"/>
  <c r="M288" i="20"/>
  <c r="K288" i="20"/>
  <c r="X287" i="20"/>
  <c r="W287" i="20"/>
  <c r="V287" i="20"/>
  <c r="U287" i="20"/>
  <c r="T287" i="20"/>
  <c r="S287" i="20"/>
  <c r="Q287" i="20"/>
  <c r="O287" i="20"/>
  <c r="M287" i="20"/>
  <c r="K287" i="20"/>
  <c r="X286" i="20"/>
  <c r="W286" i="20"/>
  <c r="V286" i="20"/>
  <c r="U286" i="20"/>
  <c r="T286" i="20"/>
  <c r="S286" i="20"/>
  <c r="Q286" i="20"/>
  <c r="O286" i="20"/>
  <c r="M286" i="20"/>
  <c r="K286" i="20"/>
  <c r="X285" i="20"/>
  <c r="W285" i="20"/>
  <c r="V285" i="20"/>
  <c r="U285" i="20"/>
  <c r="T285" i="20"/>
  <c r="S285" i="20"/>
  <c r="Q285" i="20"/>
  <c r="O285" i="20"/>
  <c r="M285" i="20"/>
  <c r="K285" i="20"/>
  <c r="X284" i="20"/>
  <c r="W284" i="20"/>
  <c r="V284" i="20"/>
  <c r="U284" i="20"/>
  <c r="T284" i="20"/>
  <c r="S284" i="20"/>
  <c r="Q284" i="20"/>
  <c r="O284" i="20"/>
  <c r="M284" i="20"/>
  <c r="K284" i="20"/>
  <c r="X283" i="20"/>
  <c r="W283" i="20"/>
  <c r="V283" i="20"/>
  <c r="U283" i="20"/>
  <c r="T283" i="20"/>
  <c r="S283" i="20"/>
  <c r="Q283" i="20"/>
  <c r="O283" i="20"/>
  <c r="M283" i="20"/>
  <c r="K283" i="20"/>
  <c r="X282" i="20"/>
  <c r="W282" i="20"/>
  <c r="V282" i="20"/>
  <c r="U282" i="20"/>
  <c r="T282" i="20"/>
  <c r="S282" i="20"/>
  <c r="Q282" i="20"/>
  <c r="O282" i="20"/>
  <c r="M282" i="20"/>
  <c r="K282" i="20"/>
  <c r="X281" i="20"/>
  <c r="W281" i="20"/>
  <c r="V281" i="20"/>
  <c r="U281" i="20"/>
  <c r="T281" i="20"/>
  <c r="S281" i="20"/>
  <c r="Q281" i="20"/>
  <c r="O281" i="20"/>
  <c r="M281" i="20"/>
  <c r="K281" i="20"/>
  <c r="X280" i="20"/>
  <c r="W280" i="20"/>
  <c r="V280" i="20"/>
  <c r="U280" i="20"/>
  <c r="T280" i="20"/>
  <c r="S280" i="20"/>
  <c r="Q280" i="20"/>
  <c r="O280" i="20"/>
  <c r="M280" i="20"/>
  <c r="K280" i="20"/>
  <c r="X279" i="20"/>
  <c r="W279" i="20"/>
  <c r="V279" i="20"/>
  <c r="U279" i="20"/>
  <c r="T279" i="20"/>
  <c r="S279" i="20"/>
  <c r="Q279" i="20"/>
  <c r="O279" i="20"/>
  <c r="M279" i="20"/>
  <c r="K279" i="20"/>
  <c r="X278" i="20"/>
  <c r="W278" i="20"/>
  <c r="V278" i="20"/>
  <c r="U278" i="20"/>
  <c r="T278" i="20"/>
  <c r="S278" i="20"/>
  <c r="Q278" i="20"/>
  <c r="O278" i="20"/>
  <c r="M278" i="20"/>
  <c r="K278" i="20"/>
  <c r="X277" i="20"/>
  <c r="W277" i="20"/>
  <c r="V277" i="20"/>
  <c r="U277" i="20"/>
  <c r="T277" i="20"/>
  <c r="S277" i="20"/>
  <c r="Q277" i="20"/>
  <c r="O277" i="20"/>
  <c r="M277" i="20"/>
  <c r="K277" i="20"/>
  <c r="X276" i="20"/>
  <c r="W276" i="20"/>
  <c r="V276" i="20"/>
  <c r="U276" i="20"/>
  <c r="T276" i="20"/>
  <c r="S276" i="20"/>
  <c r="Q276" i="20"/>
  <c r="O276" i="20"/>
  <c r="M276" i="20"/>
  <c r="K276" i="20"/>
  <c r="X275" i="20"/>
  <c r="W275" i="20"/>
  <c r="V275" i="20"/>
  <c r="U275" i="20"/>
  <c r="T275" i="20"/>
  <c r="S275" i="20"/>
  <c r="Q275" i="20"/>
  <c r="O275" i="20"/>
  <c r="M275" i="20"/>
  <c r="K275" i="20"/>
  <c r="X274" i="20"/>
  <c r="W274" i="20"/>
  <c r="V274" i="20"/>
  <c r="U274" i="20"/>
  <c r="T274" i="20"/>
  <c r="S274" i="20"/>
  <c r="Q274" i="20"/>
  <c r="O274" i="20"/>
  <c r="M274" i="20"/>
  <c r="K274" i="20"/>
  <c r="X273" i="20"/>
  <c r="W273" i="20"/>
  <c r="V273" i="20"/>
  <c r="U273" i="20"/>
  <c r="T273" i="20"/>
  <c r="S273" i="20"/>
  <c r="Q273" i="20"/>
  <c r="O273" i="20"/>
  <c r="M273" i="20"/>
  <c r="K273" i="20"/>
  <c r="X272" i="20"/>
  <c r="W272" i="20"/>
  <c r="V272" i="20"/>
  <c r="U272" i="20"/>
  <c r="T272" i="20"/>
  <c r="S272" i="20"/>
  <c r="Q272" i="20"/>
  <c r="O272" i="20"/>
  <c r="M272" i="20"/>
  <c r="K272" i="20"/>
  <c r="X271" i="20"/>
  <c r="W271" i="20"/>
  <c r="V271" i="20"/>
  <c r="U271" i="20"/>
  <c r="T271" i="20"/>
  <c r="S271" i="20"/>
  <c r="Q271" i="20"/>
  <c r="O271" i="20"/>
  <c r="M271" i="20"/>
  <c r="K271" i="20"/>
  <c r="X270" i="20"/>
  <c r="W270" i="20"/>
  <c r="V270" i="20"/>
  <c r="U270" i="20"/>
  <c r="T270" i="20"/>
  <c r="S270" i="20"/>
  <c r="Q270" i="20"/>
  <c r="O270" i="20"/>
  <c r="M270" i="20"/>
  <c r="K270" i="20"/>
  <c r="X269" i="20"/>
  <c r="W269" i="20"/>
  <c r="V269" i="20"/>
  <c r="U269" i="20"/>
  <c r="T269" i="20"/>
  <c r="S269" i="20"/>
  <c r="Q269" i="20"/>
  <c r="O269" i="20"/>
  <c r="M269" i="20"/>
  <c r="K269" i="20"/>
  <c r="X268" i="20"/>
  <c r="W268" i="20"/>
  <c r="V268" i="20"/>
  <c r="U268" i="20"/>
  <c r="T268" i="20"/>
  <c r="S268" i="20"/>
  <c r="Q268" i="20"/>
  <c r="O268" i="20"/>
  <c r="M268" i="20"/>
  <c r="K268" i="20"/>
  <c r="X267" i="20"/>
  <c r="W267" i="20"/>
  <c r="V267" i="20"/>
  <c r="U267" i="20"/>
  <c r="T267" i="20"/>
  <c r="S267" i="20"/>
  <c r="Q267" i="20"/>
  <c r="O267" i="20"/>
  <c r="M267" i="20"/>
  <c r="K267" i="20"/>
  <c r="X266" i="20"/>
  <c r="W266" i="20"/>
  <c r="V266" i="20"/>
  <c r="U266" i="20"/>
  <c r="T266" i="20"/>
  <c r="S266" i="20"/>
  <c r="Q266" i="20"/>
  <c r="O266" i="20"/>
  <c r="M266" i="20"/>
  <c r="K266" i="20"/>
  <c r="X265" i="20"/>
  <c r="W265" i="20"/>
  <c r="V265" i="20"/>
  <c r="U265" i="20"/>
  <c r="T265" i="20"/>
  <c r="S265" i="20"/>
  <c r="Q265" i="20"/>
  <c r="O265" i="20"/>
  <c r="M265" i="20"/>
  <c r="K265" i="20"/>
  <c r="X264" i="20"/>
  <c r="W264" i="20"/>
  <c r="V264" i="20"/>
  <c r="U264" i="20"/>
  <c r="T264" i="20"/>
  <c r="S264" i="20"/>
  <c r="Q264" i="20"/>
  <c r="O264" i="20"/>
  <c r="M264" i="20"/>
  <c r="K264" i="20"/>
  <c r="X263" i="20"/>
  <c r="W263" i="20"/>
  <c r="V263" i="20"/>
  <c r="U263" i="20"/>
  <c r="T263" i="20"/>
  <c r="S263" i="20"/>
  <c r="Q263" i="20"/>
  <c r="O263" i="20"/>
  <c r="M263" i="20"/>
  <c r="K263" i="20"/>
  <c r="X262" i="20"/>
  <c r="W262" i="20"/>
  <c r="V262" i="20"/>
  <c r="U262" i="20"/>
  <c r="T262" i="20"/>
  <c r="S262" i="20"/>
  <c r="Q262" i="20"/>
  <c r="O262" i="20"/>
  <c r="M262" i="20"/>
  <c r="K262" i="20"/>
  <c r="X261" i="20"/>
  <c r="W261" i="20"/>
  <c r="V261" i="20"/>
  <c r="U261" i="20"/>
  <c r="T261" i="20"/>
  <c r="S261" i="20"/>
  <c r="Q261" i="20"/>
  <c r="O261" i="20"/>
  <c r="M261" i="20"/>
  <c r="K261" i="20"/>
  <c r="X260" i="20"/>
  <c r="W260" i="20"/>
  <c r="V260" i="20"/>
  <c r="U260" i="20"/>
  <c r="T260" i="20"/>
  <c r="S260" i="20"/>
  <c r="Q260" i="20"/>
  <c r="O260" i="20"/>
  <c r="M260" i="20"/>
  <c r="K260" i="20"/>
  <c r="X259" i="20"/>
  <c r="W259" i="20"/>
  <c r="V259" i="20"/>
  <c r="U259" i="20"/>
  <c r="T259" i="20"/>
  <c r="S259" i="20"/>
  <c r="Q259" i="20"/>
  <c r="O259" i="20"/>
  <c r="M259" i="20"/>
  <c r="K259" i="20"/>
  <c r="X258" i="20"/>
  <c r="W258" i="20"/>
  <c r="V258" i="20"/>
  <c r="U258" i="20"/>
  <c r="T258" i="20"/>
  <c r="S258" i="20"/>
  <c r="Q258" i="20"/>
  <c r="O258" i="20"/>
  <c r="M258" i="20"/>
  <c r="K258" i="20"/>
  <c r="X257" i="20"/>
  <c r="W257" i="20"/>
  <c r="V257" i="20"/>
  <c r="U257" i="20"/>
  <c r="T257" i="20"/>
  <c r="S257" i="20"/>
  <c r="Q257" i="20"/>
  <c r="O257" i="20"/>
  <c r="M257" i="20"/>
  <c r="K257" i="20"/>
  <c r="X256" i="20"/>
  <c r="W256" i="20"/>
  <c r="V256" i="20"/>
  <c r="U256" i="20"/>
  <c r="T256" i="20"/>
  <c r="S256" i="20"/>
  <c r="Q256" i="20"/>
  <c r="O256" i="20"/>
  <c r="M256" i="20"/>
  <c r="K256" i="20"/>
  <c r="X255" i="20"/>
  <c r="W255" i="20"/>
  <c r="V255" i="20"/>
  <c r="U255" i="20"/>
  <c r="T255" i="20"/>
  <c r="S255" i="20"/>
  <c r="Q255" i="20"/>
  <c r="O255" i="20"/>
  <c r="M255" i="20"/>
  <c r="K255" i="20"/>
  <c r="X254" i="20"/>
  <c r="W254" i="20"/>
  <c r="V254" i="20"/>
  <c r="U254" i="20"/>
  <c r="T254" i="20"/>
  <c r="S254" i="20"/>
  <c r="Q254" i="20"/>
  <c r="O254" i="20"/>
  <c r="M254" i="20"/>
  <c r="K254" i="20"/>
  <c r="X253" i="20"/>
  <c r="W253" i="20"/>
  <c r="V253" i="20"/>
  <c r="U253" i="20"/>
  <c r="T253" i="20"/>
  <c r="S253" i="20"/>
  <c r="Q253" i="20"/>
  <c r="O253" i="20"/>
  <c r="M253" i="20"/>
  <c r="K253" i="20"/>
  <c r="X252" i="20"/>
  <c r="W252" i="20"/>
  <c r="V252" i="20"/>
  <c r="U252" i="20"/>
  <c r="T252" i="20"/>
  <c r="S252" i="20"/>
  <c r="Q252" i="20"/>
  <c r="O252" i="20"/>
  <c r="M252" i="20"/>
  <c r="K252" i="20"/>
  <c r="X251" i="20"/>
  <c r="W251" i="20"/>
  <c r="V251" i="20"/>
  <c r="U251" i="20"/>
  <c r="T251" i="20"/>
  <c r="S251" i="20"/>
  <c r="Q251" i="20"/>
  <c r="O251" i="20"/>
  <c r="M251" i="20"/>
  <c r="K251" i="20"/>
  <c r="X250" i="20"/>
  <c r="W250" i="20"/>
  <c r="V250" i="20"/>
  <c r="U250" i="20"/>
  <c r="T250" i="20"/>
  <c r="S250" i="20"/>
  <c r="Q250" i="20"/>
  <c r="O250" i="20"/>
  <c r="M250" i="20"/>
  <c r="K250" i="20"/>
  <c r="X249" i="20"/>
  <c r="W249" i="20"/>
  <c r="V249" i="20"/>
  <c r="U249" i="20"/>
  <c r="T249" i="20"/>
  <c r="S249" i="20"/>
  <c r="Q249" i="20"/>
  <c r="O249" i="20"/>
  <c r="M249" i="20"/>
  <c r="K249" i="20"/>
  <c r="X248" i="20"/>
  <c r="W248" i="20"/>
  <c r="V248" i="20"/>
  <c r="U248" i="20"/>
  <c r="T248" i="20"/>
  <c r="S248" i="20"/>
  <c r="Q248" i="20"/>
  <c r="O248" i="20"/>
  <c r="M248" i="20"/>
  <c r="K248" i="20"/>
  <c r="X247" i="20"/>
  <c r="W247" i="20"/>
  <c r="V247" i="20"/>
  <c r="U247" i="20"/>
  <c r="T247" i="20"/>
  <c r="S247" i="20"/>
  <c r="Q247" i="20"/>
  <c r="O247" i="20"/>
  <c r="M247" i="20"/>
  <c r="K247" i="20"/>
  <c r="X246" i="20"/>
  <c r="W246" i="20"/>
  <c r="V246" i="20"/>
  <c r="U246" i="20"/>
  <c r="T246" i="20"/>
  <c r="S246" i="20"/>
  <c r="Q246" i="20"/>
  <c r="O246" i="20"/>
  <c r="M246" i="20"/>
  <c r="K246" i="20"/>
  <c r="X245" i="20"/>
  <c r="W245" i="20"/>
  <c r="V245" i="20"/>
  <c r="U245" i="20"/>
  <c r="T245" i="20"/>
  <c r="S245" i="20"/>
  <c r="Q245" i="20"/>
  <c r="O245" i="20"/>
  <c r="M245" i="20"/>
  <c r="K245" i="20"/>
  <c r="X244" i="20"/>
  <c r="W244" i="20"/>
  <c r="V244" i="20"/>
  <c r="U244" i="20"/>
  <c r="T244" i="20"/>
  <c r="S244" i="20"/>
  <c r="Q244" i="20"/>
  <c r="O244" i="20"/>
  <c r="M244" i="20"/>
  <c r="K244" i="20"/>
  <c r="X243" i="20"/>
  <c r="W243" i="20"/>
  <c r="V243" i="20"/>
  <c r="U243" i="20"/>
  <c r="T243" i="20"/>
  <c r="S243" i="20"/>
  <c r="Q243" i="20"/>
  <c r="O243" i="20"/>
  <c r="M243" i="20"/>
  <c r="K243" i="20"/>
  <c r="X242" i="20"/>
  <c r="W242" i="20"/>
  <c r="V242" i="20"/>
  <c r="U242" i="20"/>
  <c r="T242" i="20"/>
  <c r="S242" i="20"/>
  <c r="Q242" i="20"/>
  <c r="O242" i="20"/>
  <c r="M242" i="20"/>
  <c r="K242" i="20"/>
  <c r="X241" i="20"/>
  <c r="W241" i="20"/>
  <c r="V241" i="20"/>
  <c r="U241" i="20"/>
  <c r="T241" i="20"/>
  <c r="S241" i="20"/>
  <c r="Q241" i="20"/>
  <c r="O241" i="20"/>
  <c r="M241" i="20"/>
  <c r="K241" i="20"/>
  <c r="X240" i="20"/>
  <c r="W240" i="20"/>
  <c r="V240" i="20"/>
  <c r="U240" i="20"/>
  <c r="T240" i="20"/>
  <c r="S240" i="20"/>
  <c r="Q240" i="20"/>
  <c r="O240" i="20"/>
  <c r="M240" i="20"/>
  <c r="K240" i="20"/>
  <c r="X239" i="20"/>
  <c r="W239" i="20"/>
  <c r="V239" i="20"/>
  <c r="U239" i="20"/>
  <c r="T239" i="20"/>
  <c r="S239" i="20"/>
  <c r="Q239" i="20"/>
  <c r="O239" i="20"/>
  <c r="M239" i="20"/>
  <c r="K239" i="20"/>
  <c r="X238" i="20"/>
  <c r="W238" i="20"/>
  <c r="V238" i="20"/>
  <c r="U238" i="20"/>
  <c r="T238" i="20"/>
  <c r="S238" i="20"/>
  <c r="Q238" i="20"/>
  <c r="O238" i="20"/>
  <c r="M238" i="20"/>
  <c r="K238" i="20"/>
  <c r="X237" i="20"/>
  <c r="W237" i="20"/>
  <c r="V237" i="20"/>
  <c r="U237" i="20"/>
  <c r="T237" i="20"/>
  <c r="S237" i="20"/>
  <c r="Q237" i="20"/>
  <c r="O237" i="20"/>
  <c r="M237" i="20"/>
  <c r="K237" i="20"/>
  <c r="X236" i="20"/>
  <c r="W236" i="20"/>
  <c r="V236" i="20"/>
  <c r="U236" i="20"/>
  <c r="T236" i="20"/>
  <c r="S236" i="20"/>
  <c r="Q236" i="20"/>
  <c r="O236" i="20"/>
  <c r="M236" i="20"/>
  <c r="K236" i="20"/>
  <c r="X235" i="20"/>
  <c r="W235" i="20"/>
  <c r="V235" i="20"/>
  <c r="U235" i="20"/>
  <c r="T235" i="20"/>
  <c r="S235" i="20"/>
  <c r="Q235" i="20"/>
  <c r="O235" i="20"/>
  <c r="M235" i="20"/>
  <c r="K235" i="20"/>
  <c r="X234" i="20"/>
  <c r="W234" i="20"/>
  <c r="V234" i="20"/>
  <c r="U234" i="20"/>
  <c r="T234" i="20"/>
  <c r="S234" i="20"/>
  <c r="Q234" i="20"/>
  <c r="O234" i="20"/>
  <c r="M234" i="20"/>
  <c r="K234" i="20"/>
  <c r="X233" i="20"/>
  <c r="W233" i="20"/>
  <c r="V233" i="20"/>
  <c r="U233" i="20"/>
  <c r="T233" i="20"/>
  <c r="S233" i="20"/>
  <c r="Q233" i="20"/>
  <c r="O233" i="20"/>
  <c r="M233" i="20"/>
  <c r="K233" i="20"/>
  <c r="X232" i="20"/>
  <c r="W232" i="20"/>
  <c r="V232" i="20"/>
  <c r="U232" i="20"/>
  <c r="T232" i="20"/>
  <c r="S232" i="20"/>
  <c r="Q232" i="20"/>
  <c r="O232" i="20"/>
  <c r="M232" i="20"/>
  <c r="K232" i="20"/>
  <c r="X231" i="20"/>
  <c r="W231" i="20"/>
  <c r="V231" i="20"/>
  <c r="U231" i="20"/>
  <c r="T231" i="20"/>
  <c r="S231" i="20"/>
  <c r="Q231" i="20"/>
  <c r="O231" i="20"/>
  <c r="M231" i="20"/>
  <c r="K231" i="20"/>
  <c r="X230" i="20"/>
  <c r="W230" i="20"/>
  <c r="V230" i="20"/>
  <c r="U230" i="20"/>
  <c r="T230" i="20"/>
  <c r="S230" i="20"/>
  <c r="Q230" i="20"/>
  <c r="O230" i="20"/>
  <c r="M230" i="20"/>
  <c r="K230" i="20"/>
  <c r="X229" i="20"/>
  <c r="W229" i="20"/>
  <c r="V229" i="20"/>
  <c r="U229" i="20"/>
  <c r="T229" i="20"/>
  <c r="S229" i="20"/>
  <c r="Q229" i="20"/>
  <c r="O229" i="20"/>
  <c r="M229" i="20"/>
  <c r="K229" i="20"/>
  <c r="X228" i="20"/>
  <c r="W228" i="20"/>
  <c r="V228" i="20"/>
  <c r="U228" i="20"/>
  <c r="T228" i="20"/>
  <c r="S228" i="20"/>
  <c r="Q228" i="20"/>
  <c r="O228" i="20"/>
  <c r="M228" i="20"/>
  <c r="K228" i="20"/>
  <c r="X227" i="20"/>
  <c r="W227" i="20"/>
  <c r="V227" i="20"/>
  <c r="U227" i="20"/>
  <c r="T227" i="20"/>
  <c r="S227" i="20"/>
  <c r="Q227" i="20"/>
  <c r="O227" i="20"/>
  <c r="M227" i="20"/>
  <c r="K227" i="20"/>
  <c r="X226" i="20"/>
  <c r="W226" i="20"/>
  <c r="V226" i="20"/>
  <c r="U226" i="20"/>
  <c r="T226" i="20"/>
  <c r="S226" i="20"/>
  <c r="Q226" i="20"/>
  <c r="O226" i="20"/>
  <c r="M226" i="20"/>
  <c r="K226" i="20"/>
  <c r="X225" i="20"/>
  <c r="W225" i="20"/>
  <c r="V225" i="20"/>
  <c r="U225" i="20"/>
  <c r="T225" i="20"/>
  <c r="S225" i="20"/>
  <c r="Q225" i="20"/>
  <c r="O225" i="20"/>
  <c r="M225" i="20"/>
  <c r="K225" i="20"/>
  <c r="X224" i="20"/>
  <c r="W224" i="20"/>
  <c r="V224" i="20"/>
  <c r="U224" i="20"/>
  <c r="T224" i="20"/>
  <c r="S224" i="20"/>
  <c r="Q224" i="20"/>
  <c r="O224" i="20"/>
  <c r="M224" i="20"/>
  <c r="K224" i="20"/>
  <c r="X223" i="20"/>
  <c r="W223" i="20"/>
  <c r="V223" i="20"/>
  <c r="U223" i="20"/>
  <c r="T223" i="20"/>
  <c r="S223" i="20"/>
  <c r="Q223" i="20"/>
  <c r="O223" i="20"/>
  <c r="M223" i="20"/>
  <c r="K223" i="20"/>
  <c r="X222" i="20"/>
  <c r="W222" i="20"/>
  <c r="V222" i="20"/>
  <c r="U222" i="20"/>
  <c r="T222" i="20"/>
  <c r="S222" i="20"/>
  <c r="Q222" i="20"/>
  <c r="O222" i="20"/>
  <c r="M222" i="20"/>
  <c r="K222" i="20"/>
  <c r="X221" i="20"/>
  <c r="W221" i="20"/>
  <c r="V221" i="20"/>
  <c r="U221" i="20"/>
  <c r="T221" i="20"/>
  <c r="S221" i="20"/>
  <c r="Q221" i="20"/>
  <c r="O221" i="20"/>
  <c r="M221" i="20"/>
  <c r="K221" i="20"/>
  <c r="X220" i="20"/>
  <c r="W220" i="20"/>
  <c r="V220" i="20"/>
  <c r="U220" i="20"/>
  <c r="T220" i="20"/>
  <c r="S220" i="20"/>
  <c r="Q220" i="20"/>
  <c r="O220" i="20"/>
  <c r="M220" i="20"/>
  <c r="K220" i="20"/>
  <c r="X219" i="20"/>
  <c r="W219" i="20"/>
  <c r="V219" i="20"/>
  <c r="U219" i="20"/>
  <c r="T219" i="20"/>
  <c r="S219" i="20"/>
  <c r="Q219" i="20"/>
  <c r="O219" i="20"/>
  <c r="M219" i="20"/>
  <c r="K219" i="20"/>
  <c r="X218" i="20"/>
  <c r="W218" i="20"/>
  <c r="V218" i="20"/>
  <c r="U218" i="20"/>
  <c r="T218" i="20"/>
  <c r="S218" i="20"/>
  <c r="Q218" i="20"/>
  <c r="O218" i="20"/>
  <c r="M218" i="20"/>
  <c r="K218" i="20"/>
  <c r="X217" i="20"/>
  <c r="W217" i="20"/>
  <c r="V217" i="20"/>
  <c r="U217" i="20"/>
  <c r="T217" i="20"/>
  <c r="S217" i="20"/>
  <c r="Q217" i="20"/>
  <c r="O217" i="20"/>
  <c r="M217" i="20"/>
  <c r="K217" i="20"/>
  <c r="X216" i="20"/>
  <c r="W216" i="20"/>
  <c r="V216" i="20"/>
  <c r="U216" i="20"/>
  <c r="T216" i="20"/>
  <c r="S216" i="20"/>
  <c r="Q216" i="20"/>
  <c r="O216" i="20"/>
  <c r="M216" i="20"/>
  <c r="K216" i="20"/>
  <c r="X215" i="20"/>
  <c r="W215" i="20"/>
  <c r="V215" i="20"/>
  <c r="U215" i="20"/>
  <c r="T215" i="20"/>
  <c r="S215" i="20"/>
  <c r="Q215" i="20"/>
  <c r="O215" i="20"/>
  <c r="M215" i="20"/>
  <c r="K215" i="20"/>
  <c r="X214" i="20"/>
  <c r="W214" i="20"/>
  <c r="V214" i="20"/>
  <c r="U214" i="20"/>
  <c r="T214" i="20"/>
  <c r="S214" i="20"/>
  <c r="Q214" i="20"/>
  <c r="O214" i="20"/>
  <c r="M214" i="20"/>
  <c r="K214" i="20"/>
  <c r="X213" i="20"/>
  <c r="W213" i="20"/>
  <c r="V213" i="20"/>
  <c r="U213" i="20"/>
  <c r="T213" i="20"/>
  <c r="S213" i="20"/>
  <c r="Q213" i="20"/>
  <c r="O213" i="20"/>
  <c r="M213" i="20"/>
  <c r="K213" i="20"/>
  <c r="X212" i="20"/>
  <c r="W212" i="20"/>
  <c r="V212" i="20"/>
  <c r="U212" i="20"/>
  <c r="T212" i="20"/>
  <c r="S212" i="20"/>
  <c r="Q212" i="20"/>
  <c r="O212" i="20"/>
  <c r="M212" i="20"/>
  <c r="K212" i="20"/>
  <c r="X211" i="20"/>
  <c r="W211" i="20"/>
  <c r="V211" i="20"/>
  <c r="U211" i="20"/>
  <c r="T211" i="20"/>
  <c r="S211" i="20"/>
  <c r="Q211" i="20"/>
  <c r="O211" i="20"/>
  <c r="M211" i="20"/>
  <c r="K211" i="20"/>
  <c r="X210" i="20"/>
  <c r="W210" i="20"/>
  <c r="V210" i="20"/>
  <c r="U210" i="20"/>
  <c r="T210" i="20"/>
  <c r="S210" i="20"/>
  <c r="Q210" i="20"/>
  <c r="O210" i="20"/>
  <c r="M210" i="20"/>
  <c r="K210" i="20"/>
  <c r="X209" i="20"/>
  <c r="W209" i="20"/>
  <c r="V209" i="20"/>
  <c r="U209" i="20"/>
  <c r="T209" i="20"/>
  <c r="S209" i="20"/>
  <c r="Q209" i="20"/>
  <c r="O209" i="20"/>
  <c r="M209" i="20"/>
  <c r="K209" i="20"/>
  <c r="X208" i="20"/>
  <c r="W208" i="20"/>
  <c r="V208" i="20"/>
  <c r="U208" i="20"/>
  <c r="T208" i="20"/>
  <c r="S208" i="20"/>
  <c r="Q208" i="20"/>
  <c r="O208" i="20"/>
  <c r="M208" i="20"/>
  <c r="K208" i="20"/>
  <c r="X207" i="20"/>
  <c r="W207" i="20"/>
  <c r="V207" i="20"/>
  <c r="U207" i="20"/>
  <c r="T207" i="20"/>
  <c r="S207" i="20"/>
  <c r="Q207" i="20"/>
  <c r="O207" i="20"/>
  <c r="M207" i="20"/>
  <c r="K207" i="20"/>
  <c r="X206" i="20"/>
  <c r="W206" i="20"/>
  <c r="V206" i="20"/>
  <c r="U206" i="20"/>
  <c r="T206" i="20"/>
  <c r="S206" i="20"/>
  <c r="Q206" i="20"/>
  <c r="O206" i="20"/>
  <c r="M206" i="20"/>
  <c r="K206" i="20"/>
  <c r="X205" i="20"/>
  <c r="W205" i="20"/>
  <c r="V205" i="20"/>
  <c r="U205" i="20"/>
  <c r="T205" i="20"/>
  <c r="S205" i="20"/>
  <c r="Q205" i="20"/>
  <c r="O205" i="20"/>
  <c r="M205" i="20"/>
  <c r="K205" i="20"/>
  <c r="X204" i="20"/>
  <c r="W204" i="20"/>
  <c r="V204" i="20"/>
  <c r="U204" i="20"/>
  <c r="T204" i="20"/>
  <c r="S204" i="20"/>
  <c r="Q204" i="20"/>
  <c r="O204" i="20"/>
  <c r="M204" i="20"/>
  <c r="K204" i="20"/>
  <c r="X203" i="20"/>
  <c r="W203" i="20"/>
  <c r="V203" i="20"/>
  <c r="U203" i="20"/>
  <c r="T203" i="20"/>
  <c r="S203" i="20"/>
  <c r="Q203" i="20"/>
  <c r="O203" i="20"/>
  <c r="M203" i="20"/>
  <c r="K203" i="20"/>
  <c r="X202" i="20"/>
  <c r="W202" i="20"/>
  <c r="V202" i="20"/>
  <c r="U202" i="20"/>
  <c r="T202" i="20"/>
  <c r="S202" i="20"/>
  <c r="Q202" i="20"/>
  <c r="O202" i="20"/>
  <c r="M202" i="20"/>
  <c r="K202" i="20"/>
  <c r="X201" i="20"/>
  <c r="W201" i="20"/>
  <c r="V201" i="20"/>
  <c r="U201" i="20"/>
  <c r="T201" i="20"/>
  <c r="S201" i="20"/>
  <c r="Q201" i="20"/>
  <c r="O201" i="20"/>
  <c r="M201" i="20"/>
  <c r="K201" i="20"/>
  <c r="X200" i="20"/>
  <c r="W200" i="20"/>
  <c r="V200" i="20"/>
  <c r="U200" i="20"/>
  <c r="T200" i="20"/>
  <c r="S200" i="20"/>
  <c r="Q200" i="20"/>
  <c r="O200" i="20"/>
  <c r="M200" i="20"/>
  <c r="K200" i="20"/>
  <c r="X199" i="20"/>
  <c r="W199" i="20"/>
  <c r="V199" i="20"/>
  <c r="U199" i="20"/>
  <c r="T199" i="20"/>
  <c r="S199" i="20"/>
  <c r="Q199" i="20"/>
  <c r="O199" i="20"/>
  <c r="M199" i="20"/>
  <c r="K199" i="20"/>
  <c r="X198" i="20"/>
  <c r="W198" i="20"/>
  <c r="V198" i="20"/>
  <c r="U198" i="20"/>
  <c r="T198" i="20"/>
  <c r="S198" i="20"/>
  <c r="Q198" i="20"/>
  <c r="O198" i="20"/>
  <c r="M198" i="20"/>
  <c r="K198" i="20"/>
  <c r="X197" i="20"/>
  <c r="W197" i="20"/>
  <c r="V197" i="20"/>
  <c r="U197" i="20"/>
  <c r="T197" i="20"/>
  <c r="S197" i="20"/>
  <c r="Q197" i="20"/>
  <c r="O197" i="20"/>
  <c r="M197" i="20"/>
  <c r="K197" i="20"/>
  <c r="X196" i="20"/>
  <c r="W196" i="20"/>
  <c r="V196" i="20"/>
  <c r="U196" i="20"/>
  <c r="T196" i="20"/>
  <c r="S196" i="20"/>
  <c r="Q196" i="20"/>
  <c r="O196" i="20"/>
  <c r="M196" i="20"/>
  <c r="K196" i="20"/>
  <c r="X195" i="20"/>
  <c r="W195" i="20"/>
  <c r="V195" i="20"/>
  <c r="U195" i="20"/>
  <c r="T195" i="20"/>
  <c r="S195" i="20"/>
  <c r="Q195" i="20"/>
  <c r="O195" i="20"/>
  <c r="M195" i="20"/>
  <c r="K195" i="20"/>
  <c r="X194" i="20"/>
  <c r="W194" i="20"/>
  <c r="V194" i="20"/>
  <c r="U194" i="20"/>
  <c r="T194" i="20"/>
  <c r="S194" i="20"/>
  <c r="Q194" i="20"/>
  <c r="O194" i="20"/>
  <c r="M194" i="20"/>
  <c r="K194" i="20"/>
  <c r="X193" i="20"/>
  <c r="W193" i="20"/>
  <c r="V193" i="20"/>
  <c r="U193" i="20"/>
  <c r="T193" i="20"/>
  <c r="S193" i="20"/>
  <c r="Q193" i="20"/>
  <c r="O193" i="20"/>
  <c r="M193" i="20"/>
  <c r="K193" i="20"/>
  <c r="X192" i="20"/>
  <c r="W192" i="20"/>
  <c r="V192" i="20"/>
  <c r="U192" i="20"/>
  <c r="T192" i="20"/>
  <c r="S192" i="20"/>
  <c r="Q192" i="20"/>
  <c r="O192" i="20"/>
  <c r="M192" i="20"/>
  <c r="K192" i="20"/>
  <c r="X191" i="20"/>
  <c r="W191" i="20"/>
  <c r="V191" i="20"/>
  <c r="U191" i="20"/>
  <c r="T191" i="20"/>
  <c r="S191" i="20"/>
  <c r="Q191" i="20"/>
  <c r="O191" i="20"/>
  <c r="M191" i="20"/>
  <c r="K191" i="20"/>
  <c r="X190" i="20"/>
  <c r="W190" i="20"/>
  <c r="V190" i="20"/>
  <c r="U190" i="20"/>
  <c r="T190" i="20"/>
  <c r="S190" i="20"/>
  <c r="Q190" i="20"/>
  <c r="O190" i="20"/>
  <c r="M190" i="20"/>
  <c r="K190" i="20"/>
  <c r="X189" i="20"/>
  <c r="W189" i="20"/>
  <c r="V189" i="20"/>
  <c r="U189" i="20"/>
  <c r="T189" i="20"/>
  <c r="S189" i="20"/>
  <c r="Q189" i="20"/>
  <c r="O189" i="20"/>
  <c r="M189" i="20"/>
  <c r="K189" i="20"/>
  <c r="X188" i="20"/>
  <c r="W188" i="20"/>
  <c r="V188" i="20"/>
  <c r="U188" i="20"/>
  <c r="T188" i="20"/>
  <c r="S188" i="20"/>
  <c r="Q188" i="20"/>
  <c r="O188" i="20"/>
  <c r="M188" i="20"/>
  <c r="K188" i="20"/>
  <c r="X187" i="20"/>
  <c r="W187" i="20"/>
  <c r="V187" i="20"/>
  <c r="U187" i="20"/>
  <c r="T187" i="20"/>
  <c r="S187" i="20"/>
  <c r="Q187" i="20"/>
  <c r="O187" i="20"/>
  <c r="M187" i="20"/>
  <c r="K187" i="20"/>
  <c r="X186" i="20"/>
  <c r="W186" i="20"/>
  <c r="V186" i="20"/>
  <c r="U186" i="20"/>
  <c r="T186" i="20"/>
  <c r="S186" i="20"/>
  <c r="Q186" i="20"/>
  <c r="O186" i="20"/>
  <c r="M186" i="20"/>
  <c r="K186" i="20"/>
  <c r="X185" i="20"/>
  <c r="W185" i="20"/>
  <c r="V185" i="20"/>
  <c r="U185" i="20"/>
  <c r="T185" i="20"/>
  <c r="S185" i="20"/>
  <c r="Q185" i="20"/>
  <c r="O185" i="20"/>
  <c r="M185" i="20"/>
  <c r="K185" i="20"/>
  <c r="X184" i="20"/>
  <c r="W184" i="20"/>
  <c r="V184" i="20"/>
  <c r="U184" i="20"/>
  <c r="T184" i="20"/>
  <c r="S184" i="20"/>
  <c r="Q184" i="20"/>
  <c r="O184" i="20"/>
  <c r="M184" i="20"/>
  <c r="K184" i="20"/>
  <c r="X183" i="20"/>
  <c r="W183" i="20"/>
  <c r="V183" i="20"/>
  <c r="U183" i="20"/>
  <c r="T183" i="20"/>
  <c r="S183" i="20"/>
  <c r="Q183" i="20"/>
  <c r="O183" i="20"/>
  <c r="M183" i="20"/>
  <c r="K183" i="20"/>
  <c r="X182" i="20"/>
  <c r="W182" i="20"/>
  <c r="V182" i="20"/>
  <c r="U182" i="20"/>
  <c r="T182" i="20"/>
  <c r="S182" i="20"/>
  <c r="Q182" i="20"/>
  <c r="O182" i="20"/>
  <c r="M182" i="20"/>
  <c r="K182" i="20"/>
  <c r="X181" i="20"/>
  <c r="W181" i="20"/>
  <c r="V181" i="20"/>
  <c r="U181" i="20"/>
  <c r="T181" i="20"/>
  <c r="S181" i="20"/>
  <c r="Q181" i="20"/>
  <c r="O181" i="20"/>
  <c r="M181" i="20"/>
  <c r="K181" i="20"/>
  <c r="X180" i="20"/>
  <c r="W180" i="20"/>
  <c r="V180" i="20"/>
  <c r="U180" i="20"/>
  <c r="T180" i="20"/>
  <c r="S180" i="20"/>
  <c r="Q180" i="20"/>
  <c r="O180" i="20"/>
  <c r="M180" i="20"/>
  <c r="K180" i="20"/>
  <c r="X179" i="20"/>
  <c r="W179" i="20"/>
  <c r="V179" i="20"/>
  <c r="U179" i="20"/>
  <c r="T179" i="20"/>
  <c r="S179" i="20"/>
  <c r="Q179" i="20"/>
  <c r="O179" i="20"/>
  <c r="M179" i="20"/>
  <c r="K179" i="20"/>
  <c r="X178" i="20"/>
  <c r="W178" i="20"/>
  <c r="V178" i="20"/>
  <c r="U178" i="20"/>
  <c r="T178" i="20"/>
  <c r="S178" i="20"/>
  <c r="Q178" i="20"/>
  <c r="O178" i="20"/>
  <c r="M178" i="20"/>
  <c r="K178" i="20"/>
  <c r="X177" i="20"/>
  <c r="W177" i="20"/>
  <c r="V177" i="20"/>
  <c r="U177" i="20"/>
  <c r="T177" i="20"/>
  <c r="S177" i="20"/>
  <c r="Q177" i="20"/>
  <c r="O177" i="20"/>
  <c r="M177" i="20"/>
  <c r="K177" i="20"/>
  <c r="X176" i="20"/>
  <c r="W176" i="20"/>
  <c r="V176" i="20"/>
  <c r="U176" i="20"/>
  <c r="T176" i="20"/>
  <c r="S176" i="20"/>
  <c r="Q176" i="20"/>
  <c r="O176" i="20"/>
  <c r="M176" i="20"/>
  <c r="K176" i="20"/>
  <c r="X175" i="20"/>
  <c r="W175" i="20"/>
  <c r="V175" i="20"/>
  <c r="U175" i="20"/>
  <c r="T175" i="20"/>
  <c r="S175" i="20"/>
  <c r="Q175" i="20"/>
  <c r="O175" i="20"/>
  <c r="M175" i="20"/>
  <c r="K175" i="20"/>
  <c r="X174" i="20"/>
  <c r="W174" i="20"/>
  <c r="V174" i="20"/>
  <c r="U174" i="20"/>
  <c r="T174" i="20"/>
  <c r="S174" i="20"/>
  <c r="Q174" i="20"/>
  <c r="O174" i="20"/>
  <c r="M174" i="20"/>
  <c r="K174" i="20"/>
  <c r="X173" i="20"/>
  <c r="W173" i="20"/>
  <c r="V173" i="20"/>
  <c r="U173" i="20"/>
  <c r="T173" i="20"/>
  <c r="S173" i="20"/>
  <c r="Q173" i="20"/>
  <c r="O173" i="20"/>
  <c r="M173" i="20"/>
  <c r="K173" i="20"/>
  <c r="X172" i="20"/>
  <c r="W172" i="20"/>
  <c r="V172" i="20"/>
  <c r="U172" i="20"/>
  <c r="T172" i="20"/>
  <c r="S172" i="20"/>
  <c r="Q172" i="20"/>
  <c r="O172" i="20"/>
  <c r="M172" i="20"/>
  <c r="K172" i="20"/>
  <c r="X171" i="20"/>
  <c r="W171" i="20"/>
  <c r="V171" i="20"/>
  <c r="U171" i="20"/>
  <c r="T171" i="20"/>
  <c r="S171" i="20"/>
  <c r="Q171" i="20"/>
  <c r="O171" i="20"/>
  <c r="M171" i="20"/>
  <c r="K171" i="20"/>
  <c r="X170" i="20"/>
  <c r="W170" i="20"/>
  <c r="V170" i="20"/>
  <c r="U170" i="20"/>
  <c r="T170" i="20"/>
  <c r="S170" i="20"/>
  <c r="Q170" i="20"/>
  <c r="O170" i="20"/>
  <c r="M170" i="20"/>
  <c r="K170" i="20"/>
  <c r="X169" i="20"/>
  <c r="W169" i="20"/>
  <c r="V169" i="20"/>
  <c r="U169" i="20"/>
  <c r="T169" i="20"/>
  <c r="S169" i="20"/>
  <c r="Q169" i="20"/>
  <c r="O169" i="20"/>
  <c r="M169" i="20"/>
  <c r="K169" i="20"/>
  <c r="X168" i="20"/>
  <c r="W168" i="20"/>
  <c r="V168" i="20"/>
  <c r="U168" i="20"/>
  <c r="T168" i="20"/>
  <c r="S168" i="20"/>
  <c r="Q168" i="20"/>
  <c r="O168" i="20"/>
  <c r="M168" i="20"/>
  <c r="K168" i="20"/>
  <c r="X167" i="20"/>
  <c r="W167" i="20"/>
  <c r="V167" i="20"/>
  <c r="U167" i="20"/>
  <c r="T167" i="20"/>
  <c r="S167" i="20"/>
  <c r="Q167" i="20"/>
  <c r="O167" i="20"/>
  <c r="M167" i="20"/>
  <c r="K167" i="20"/>
  <c r="X166" i="20"/>
  <c r="W166" i="20"/>
  <c r="V166" i="20"/>
  <c r="U166" i="20"/>
  <c r="T166" i="20"/>
  <c r="S166" i="20"/>
  <c r="Q166" i="20"/>
  <c r="O166" i="20"/>
  <c r="M166" i="20"/>
  <c r="K166" i="20"/>
  <c r="X165" i="20"/>
  <c r="W165" i="20"/>
  <c r="V165" i="20"/>
  <c r="U165" i="20"/>
  <c r="T165" i="20"/>
  <c r="S165" i="20"/>
  <c r="Q165" i="20"/>
  <c r="O165" i="20"/>
  <c r="M165" i="20"/>
  <c r="K165" i="20"/>
  <c r="X164" i="20"/>
  <c r="W164" i="20"/>
  <c r="V164" i="20"/>
  <c r="U164" i="20"/>
  <c r="T164" i="20"/>
  <c r="S164" i="20"/>
  <c r="Q164" i="20"/>
  <c r="O164" i="20"/>
  <c r="M164" i="20"/>
  <c r="K164" i="20"/>
  <c r="X163" i="20"/>
  <c r="W163" i="20"/>
  <c r="V163" i="20"/>
  <c r="U163" i="20"/>
  <c r="T163" i="20"/>
  <c r="S163" i="20"/>
  <c r="Q163" i="20"/>
  <c r="O163" i="20"/>
  <c r="M163" i="20"/>
  <c r="K163" i="20"/>
  <c r="X162" i="20"/>
  <c r="W162" i="20"/>
  <c r="V162" i="20"/>
  <c r="U162" i="20"/>
  <c r="T162" i="20"/>
  <c r="S162" i="20"/>
  <c r="Q162" i="20"/>
  <c r="O162" i="20"/>
  <c r="M162" i="20"/>
  <c r="K162" i="20"/>
  <c r="X161" i="20"/>
  <c r="W161" i="20"/>
  <c r="V161" i="20"/>
  <c r="U161" i="20"/>
  <c r="T161" i="20"/>
  <c r="S161" i="20"/>
  <c r="Q161" i="20"/>
  <c r="O161" i="20"/>
  <c r="M161" i="20"/>
  <c r="K161" i="20"/>
  <c r="X160" i="20"/>
  <c r="W160" i="20"/>
  <c r="V160" i="20"/>
  <c r="U160" i="20"/>
  <c r="T160" i="20"/>
  <c r="S160" i="20"/>
  <c r="Q160" i="20"/>
  <c r="O160" i="20"/>
  <c r="M160" i="20"/>
  <c r="K160" i="20"/>
  <c r="X159" i="20"/>
  <c r="W159" i="20"/>
  <c r="V159" i="20"/>
  <c r="U159" i="20"/>
  <c r="T159" i="20"/>
  <c r="S159" i="20"/>
  <c r="Q159" i="20"/>
  <c r="O159" i="20"/>
  <c r="M159" i="20"/>
  <c r="K159" i="20"/>
  <c r="X158" i="20"/>
  <c r="W158" i="20"/>
  <c r="V158" i="20"/>
  <c r="U158" i="20"/>
  <c r="T158" i="20"/>
  <c r="S158" i="20"/>
  <c r="Q158" i="20"/>
  <c r="O158" i="20"/>
  <c r="M158" i="20"/>
  <c r="K158" i="20"/>
  <c r="X157" i="20"/>
  <c r="W157" i="20"/>
  <c r="V157" i="20"/>
  <c r="U157" i="20"/>
  <c r="T157" i="20"/>
  <c r="S157" i="20"/>
  <c r="Q157" i="20"/>
  <c r="O157" i="20"/>
  <c r="M157" i="20"/>
  <c r="K157" i="20"/>
  <c r="X156" i="20"/>
  <c r="W156" i="20"/>
  <c r="V156" i="20"/>
  <c r="U156" i="20"/>
  <c r="T156" i="20"/>
  <c r="S156" i="20"/>
  <c r="Q156" i="20"/>
  <c r="O156" i="20"/>
  <c r="M156" i="20"/>
  <c r="K156" i="20"/>
  <c r="X155" i="20"/>
  <c r="W155" i="20"/>
  <c r="V155" i="20"/>
  <c r="U155" i="20"/>
  <c r="T155" i="20"/>
  <c r="S155" i="20"/>
  <c r="Q155" i="20"/>
  <c r="O155" i="20"/>
  <c r="M155" i="20"/>
  <c r="K155" i="20"/>
  <c r="X154" i="20"/>
  <c r="W154" i="20"/>
  <c r="V154" i="20"/>
  <c r="U154" i="20"/>
  <c r="T154" i="20"/>
  <c r="S154" i="20"/>
  <c r="Q154" i="20"/>
  <c r="O154" i="20"/>
  <c r="M154" i="20"/>
  <c r="K154" i="20"/>
  <c r="X153" i="20"/>
  <c r="W153" i="20"/>
  <c r="V153" i="20"/>
  <c r="U153" i="20"/>
  <c r="T153" i="20"/>
  <c r="S153" i="20"/>
  <c r="Q153" i="20"/>
  <c r="O153" i="20"/>
  <c r="M153" i="20"/>
  <c r="K153" i="20"/>
  <c r="X152" i="20"/>
  <c r="W152" i="20"/>
  <c r="V152" i="20"/>
  <c r="U152" i="20"/>
  <c r="T152" i="20"/>
  <c r="S152" i="20"/>
  <c r="Q152" i="20"/>
  <c r="O152" i="20"/>
  <c r="M152" i="20"/>
  <c r="K152" i="20"/>
  <c r="X151" i="20"/>
  <c r="W151" i="20"/>
  <c r="V151" i="20"/>
  <c r="U151" i="20"/>
  <c r="T151" i="20"/>
  <c r="S151" i="20"/>
  <c r="Q151" i="20"/>
  <c r="O151" i="20"/>
  <c r="M151" i="20"/>
  <c r="K151" i="20"/>
  <c r="X150" i="20"/>
  <c r="W150" i="20"/>
  <c r="V150" i="20"/>
  <c r="U150" i="20"/>
  <c r="T150" i="20"/>
  <c r="S150" i="20"/>
  <c r="Q150" i="20"/>
  <c r="O150" i="20"/>
  <c r="M150" i="20"/>
  <c r="K150" i="20"/>
  <c r="X149" i="20"/>
  <c r="W149" i="20"/>
  <c r="V149" i="20"/>
  <c r="U149" i="20"/>
  <c r="T149" i="20"/>
  <c r="S149" i="20"/>
  <c r="Q149" i="20"/>
  <c r="O149" i="20"/>
  <c r="M149" i="20"/>
  <c r="K149" i="20"/>
  <c r="X148" i="20"/>
  <c r="W148" i="20"/>
  <c r="V148" i="20"/>
  <c r="U148" i="20"/>
  <c r="T148" i="20"/>
  <c r="S148" i="20"/>
  <c r="Q148" i="20"/>
  <c r="O148" i="20"/>
  <c r="M148" i="20"/>
  <c r="K148" i="20"/>
  <c r="X147" i="20"/>
  <c r="W147" i="20"/>
  <c r="V147" i="20"/>
  <c r="U147" i="20"/>
  <c r="T147" i="20"/>
  <c r="S147" i="20"/>
  <c r="Q147" i="20"/>
  <c r="O147" i="20"/>
  <c r="M147" i="20"/>
  <c r="K147" i="20"/>
  <c r="X146" i="20"/>
  <c r="W146" i="20"/>
  <c r="V146" i="20"/>
  <c r="U146" i="20"/>
  <c r="T146" i="20"/>
  <c r="S146" i="20"/>
  <c r="Q146" i="20"/>
  <c r="O146" i="20"/>
  <c r="M146" i="20"/>
  <c r="K146" i="20"/>
  <c r="X145" i="20"/>
  <c r="W145" i="20"/>
  <c r="V145" i="20"/>
  <c r="U145" i="20"/>
  <c r="T145" i="20"/>
  <c r="S145" i="20"/>
  <c r="Q145" i="20"/>
  <c r="O145" i="20"/>
  <c r="M145" i="20"/>
  <c r="K145" i="20"/>
  <c r="X144" i="20"/>
  <c r="W144" i="20"/>
  <c r="V144" i="20"/>
  <c r="U144" i="20"/>
  <c r="T144" i="20"/>
  <c r="S144" i="20"/>
  <c r="Q144" i="20"/>
  <c r="O144" i="20"/>
  <c r="M144" i="20"/>
  <c r="K144" i="20"/>
  <c r="X143" i="20"/>
  <c r="W143" i="20"/>
  <c r="V143" i="20"/>
  <c r="U143" i="20"/>
  <c r="T143" i="20"/>
  <c r="S143" i="20"/>
  <c r="Q143" i="20"/>
  <c r="O143" i="20"/>
  <c r="M143" i="20"/>
  <c r="K143" i="20"/>
  <c r="X142" i="20"/>
  <c r="W142" i="20"/>
  <c r="V142" i="20"/>
  <c r="U142" i="20"/>
  <c r="T142" i="20"/>
  <c r="S142" i="20"/>
  <c r="Q142" i="20"/>
  <c r="O142" i="20"/>
  <c r="M142" i="20"/>
  <c r="K142" i="20"/>
  <c r="X141" i="20"/>
  <c r="W141" i="20"/>
  <c r="V141" i="20"/>
  <c r="U141" i="20"/>
  <c r="T141" i="20"/>
  <c r="S141" i="20"/>
  <c r="Q141" i="20"/>
  <c r="O141" i="20"/>
  <c r="M141" i="20"/>
  <c r="K141" i="20"/>
  <c r="X140" i="20"/>
  <c r="W140" i="20"/>
  <c r="V140" i="20"/>
  <c r="U140" i="20"/>
  <c r="T140" i="20"/>
  <c r="S140" i="20"/>
  <c r="Q140" i="20"/>
  <c r="O140" i="20"/>
  <c r="M140" i="20"/>
  <c r="K140" i="20"/>
  <c r="X139" i="20"/>
  <c r="W139" i="20"/>
  <c r="V139" i="20"/>
  <c r="U139" i="20"/>
  <c r="T139" i="20"/>
  <c r="S139" i="20"/>
  <c r="Q139" i="20"/>
  <c r="O139" i="20"/>
  <c r="M139" i="20"/>
  <c r="K139" i="20"/>
  <c r="X138" i="20"/>
  <c r="W138" i="20"/>
  <c r="V138" i="20"/>
  <c r="U138" i="20"/>
  <c r="T138" i="20"/>
  <c r="S138" i="20"/>
  <c r="Q138" i="20"/>
  <c r="O138" i="20"/>
  <c r="M138" i="20"/>
  <c r="K138" i="20"/>
  <c r="X137" i="20"/>
  <c r="W137" i="20"/>
  <c r="V137" i="20"/>
  <c r="U137" i="20"/>
  <c r="T137" i="20"/>
  <c r="S137" i="20"/>
  <c r="Q137" i="20"/>
  <c r="O137" i="20"/>
  <c r="M137" i="20"/>
  <c r="K137" i="20"/>
  <c r="X136" i="20"/>
  <c r="W136" i="20"/>
  <c r="V136" i="20"/>
  <c r="U136" i="20"/>
  <c r="T136" i="20"/>
  <c r="S136" i="20"/>
  <c r="Q136" i="20"/>
  <c r="O136" i="20"/>
  <c r="M136" i="20"/>
  <c r="K136" i="20"/>
  <c r="X135" i="20"/>
  <c r="W135" i="20"/>
  <c r="V135" i="20"/>
  <c r="U135" i="20"/>
  <c r="T135" i="20"/>
  <c r="S135" i="20"/>
  <c r="Q135" i="20"/>
  <c r="O135" i="20"/>
  <c r="M135" i="20"/>
  <c r="K135" i="20"/>
  <c r="X134" i="20"/>
  <c r="W134" i="20"/>
  <c r="V134" i="20"/>
  <c r="U134" i="20"/>
  <c r="T134" i="20"/>
  <c r="S134" i="20"/>
  <c r="Q134" i="20"/>
  <c r="O134" i="20"/>
  <c r="M134" i="20"/>
  <c r="K134" i="20"/>
  <c r="X133" i="20"/>
  <c r="W133" i="20"/>
  <c r="V133" i="20"/>
  <c r="U133" i="20"/>
  <c r="T133" i="20"/>
  <c r="S133" i="20"/>
  <c r="Q133" i="20"/>
  <c r="O133" i="20"/>
  <c r="M133" i="20"/>
  <c r="K133" i="20"/>
  <c r="X132" i="20"/>
  <c r="W132" i="20"/>
  <c r="V132" i="20"/>
  <c r="U132" i="20"/>
  <c r="T132" i="20"/>
  <c r="S132" i="20"/>
  <c r="Q132" i="20"/>
  <c r="O132" i="20"/>
  <c r="M132" i="20"/>
  <c r="K132" i="20"/>
  <c r="X131" i="20"/>
  <c r="W131" i="20"/>
  <c r="V131" i="20"/>
  <c r="U131" i="20"/>
  <c r="T131" i="20"/>
  <c r="S131" i="20"/>
  <c r="Q131" i="20"/>
  <c r="O131" i="20"/>
  <c r="M131" i="20"/>
  <c r="K131" i="20"/>
  <c r="X130" i="20"/>
  <c r="W130" i="20"/>
  <c r="V130" i="20"/>
  <c r="U130" i="20"/>
  <c r="T130" i="20"/>
  <c r="S130" i="20"/>
  <c r="Q130" i="20"/>
  <c r="O130" i="20"/>
  <c r="M130" i="20"/>
  <c r="K130" i="20"/>
  <c r="X129" i="20"/>
  <c r="W129" i="20"/>
  <c r="V129" i="20"/>
  <c r="U129" i="20"/>
  <c r="T129" i="20"/>
  <c r="S129" i="20"/>
  <c r="Q129" i="20"/>
  <c r="O129" i="20"/>
  <c r="M129" i="20"/>
  <c r="K129" i="20"/>
  <c r="X128" i="20"/>
  <c r="W128" i="20"/>
  <c r="V128" i="20"/>
  <c r="U128" i="20"/>
  <c r="T128" i="20"/>
  <c r="S128" i="20"/>
  <c r="Q128" i="20"/>
  <c r="O128" i="20"/>
  <c r="M128" i="20"/>
  <c r="K128" i="20"/>
  <c r="X127" i="20"/>
  <c r="W127" i="20"/>
  <c r="V127" i="20"/>
  <c r="U127" i="20"/>
  <c r="T127" i="20"/>
  <c r="S127" i="20"/>
  <c r="Q127" i="20"/>
  <c r="O127" i="20"/>
  <c r="M127" i="20"/>
  <c r="K127" i="20"/>
  <c r="X126" i="20"/>
  <c r="W126" i="20"/>
  <c r="V126" i="20"/>
  <c r="U126" i="20"/>
  <c r="T126" i="20"/>
  <c r="S126" i="20"/>
  <c r="Q126" i="20"/>
  <c r="O126" i="20"/>
  <c r="M126" i="20"/>
  <c r="K126" i="20"/>
  <c r="X125" i="20"/>
  <c r="W125" i="20"/>
  <c r="V125" i="20"/>
  <c r="U125" i="20"/>
  <c r="T125" i="20"/>
  <c r="S125" i="20"/>
  <c r="Q125" i="20"/>
  <c r="O125" i="20"/>
  <c r="M125" i="20"/>
  <c r="K125" i="20"/>
  <c r="X124" i="20"/>
  <c r="W124" i="20"/>
  <c r="V124" i="20"/>
  <c r="U124" i="20"/>
  <c r="T124" i="20"/>
  <c r="S124" i="20"/>
  <c r="Q124" i="20"/>
  <c r="O124" i="20"/>
  <c r="M124" i="20"/>
  <c r="K124" i="20"/>
  <c r="X123" i="20"/>
  <c r="W123" i="20"/>
  <c r="V123" i="20"/>
  <c r="U123" i="20"/>
  <c r="T123" i="20"/>
  <c r="S123" i="20"/>
  <c r="Q123" i="20"/>
  <c r="O123" i="20"/>
  <c r="M123" i="20"/>
  <c r="K123" i="20"/>
  <c r="X122" i="20"/>
  <c r="W122" i="20"/>
  <c r="V122" i="20"/>
  <c r="U122" i="20"/>
  <c r="T122" i="20"/>
  <c r="S122" i="20"/>
  <c r="Q122" i="20"/>
  <c r="O122" i="20"/>
  <c r="M122" i="20"/>
  <c r="K122" i="20"/>
  <c r="X121" i="20"/>
  <c r="W121" i="20"/>
  <c r="V121" i="20"/>
  <c r="U121" i="20"/>
  <c r="T121" i="20"/>
  <c r="S121" i="20"/>
  <c r="Q121" i="20"/>
  <c r="O121" i="20"/>
  <c r="M121" i="20"/>
  <c r="K121" i="20"/>
  <c r="X120" i="20"/>
  <c r="W120" i="20"/>
  <c r="V120" i="20"/>
  <c r="U120" i="20"/>
  <c r="T120" i="20"/>
  <c r="S120" i="20"/>
  <c r="Q120" i="20"/>
  <c r="O120" i="20"/>
  <c r="M120" i="20"/>
  <c r="K120" i="20"/>
  <c r="X119" i="20"/>
  <c r="W119" i="20"/>
  <c r="V119" i="20"/>
  <c r="U119" i="20"/>
  <c r="T119" i="20"/>
  <c r="S119" i="20"/>
  <c r="Q119" i="20"/>
  <c r="O119" i="20"/>
  <c r="M119" i="20"/>
  <c r="K119" i="20"/>
  <c r="X118" i="20"/>
  <c r="W118" i="20"/>
  <c r="V118" i="20"/>
  <c r="U118" i="20"/>
  <c r="T118" i="20"/>
  <c r="S118" i="20"/>
  <c r="Q118" i="20"/>
  <c r="O118" i="20"/>
  <c r="M118" i="20"/>
  <c r="K118" i="20"/>
  <c r="X117" i="20"/>
  <c r="W117" i="20"/>
  <c r="V117" i="20"/>
  <c r="U117" i="20"/>
  <c r="T117" i="20"/>
  <c r="S117" i="20"/>
  <c r="Q117" i="20"/>
  <c r="O117" i="20"/>
  <c r="M117" i="20"/>
  <c r="K117" i="20"/>
  <c r="X116" i="20"/>
  <c r="W116" i="20"/>
  <c r="V116" i="20"/>
  <c r="U116" i="20"/>
  <c r="T116" i="20"/>
  <c r="S116" i="20"/>
  <c r="Q116" i="20"/>
  <c r="O116" i="20"/>
  <c r="M116" i="20"/>
  <c r="K116" i="20"/>
  <c r="X115" i="20"/>
  <c r="W115" i="20"/>
  <c r="V115" i="20"/>
  <c r="U115" i="20"/>
  <c r="T115" i="20"/>
  <c r="S115" i="20"/>
  <c r="Q115" i="20"/>
  <c r="O115" i="20"/>
  <c r="M115" i="20"/>
  <c r="K115" i="20"/>
  <c r="X114" i="20"/>
  <c r="W114" i="20"/>
  <c r="V114" i="20"/>
  <c r="U114" i="20"/>
  <c r="T114" i="20"/>
  <c r="S114" i="20"/>
  <c r="Q114" i="20"/>
  <c r="O114" i="20"/>
  <c r="M114" i="20"/>
  <c r="K114" i="20"/>
  <c r="X113" i="20"/>
  <c r="W113" i="20"/>
  <c r="V113" i="20"/>
  <c r="U113" i="20"/>
  <c r="T113" i="20"/>
  <c r="S113" i="20"/>
  <c r="Q113" i="20"/>
  <c r="O113" i="20"/>
  <c r="M113" i="20"/>
  <c r="K113" i="20"/>
  <c r="X112" i="20"/>
  <c r="W112" i="20"/>
  <c r="V112" i="20"/>
  <c r="U112" i="20"/>
  <c r="T112" i="20"/>
  <c r="S112" i="20"/>
  <c r="Q112" i="20"/>
  <c r="O112" i="20"/>
  <c r="M112" i="20"/>
  <c r="K112" i="20"/>
  <c r="X111" i="20"/>
  <c r="W111" i="20"/>
  <c r="V111" i="20"/>
  <c r="U111" i="20"/>
  <c r="T111" i="20"/>
  <c r="S111" i="20"/>
  <c r="Q111" i="20"/>
  <c r="O111" i="20"/>
  <c r="M111" i="20"/>
  <c r="K111" i="20"/>
  <c r="X110" i="20"/>
  <c r="W110" i="20"/>
  <c r="V110" i="20"/>
  <c r="U110" i="20"/>
  <c r="T110" i="20"/>
  <c r="S110" i="20"/>
  <c r="Q110" i="20"/>
  <c r="O110" i="20"/>
  <c r="M110" i="20"/>
  <c r="K110" i="20"/>
  <c r="X109" i="20"/>
  <c r="W109" i="20"/>
  <c r="V109" i="20"/>
  <c r="U109" i="20"/>
  <c r="T109" i="20"/>
  <c r="S109" i="20"/>
  <c r="Q109" i="20"/>
  <c r="O109" i="20"/>
  <c r="M109" i="20"/>
  <c r="K109" i="20"/>
  <c r="X108" i="20"/>
  <c r="W108" i="20"/>
  <c r="V108" i="20"/>
  <c r="U108" i="20"/>
  <c r="T108" i="20"/>
  <c r="S108" i="20"/>
  <c r="Q108" i="20"/>
  <c r="O108" i="20"/>
  <c r="M108" i="20"/>
  <c r="K108" i="20"/>
  <c r="X107" i="20"/>
  <c r="W107" i="20"/>
  <c r="V107" i="20"/>
  <c r="U107" i="20"/>
  <c r="T107" i="20"/>
  <c r="S107" i="20"/>
  <c r="Q107" i="20"/>
  <c r="O107" i="20"/>
  <c r="M107" i="20"/>
  <c r="K107" i="20"/>
  <c r="X106" i="20"/>
  <c r="W106" i="20"/>
  <c r="V106" i="20"/>
  <c r="U106" i="20"/>
  <c r="T106" i="20"/>
  <c r="S106" i="20"/>
  <c r="Q106" i="20"/>
  <c r="O106" i="20"/>
  <c r="M106" i="20"/>
  <c r="K106" i="20"/>
  <c r="X105" i="20"/>
  <c r="W105" i="20"/>
  <c r="V105" i="20"/>
  <c r="U105" i="20"/>
  <c r="T105" i="20"/>
  <c r="S105" i="20"/>
  <c r="Q105" i="20"/>
  <c r="O105" i="20"/>
  <c r="M105" i="20"/>
  <c r="K105" i="20"/>
  <c r="X104" i="20"/>
  <c r="W104" i="20"/>
  <c r="V104" i="20"/>
  <c r="U104" i="20"/>
  <c r="T104" i="20"/>
  <c r="S104" i="20"/>
  <c r="Q104" i="20"/>
  <c r="O104" i="20"/>
  <c r="M104" i="20"/>
  <c r="K104" i="20"/>
  <c r="X103" i="20"/>
  <c r="W103" i="20"/>
  <c r="V103" i="20"/>
  <c r="U103" i="20"/>
  <c r="T103" i="20"/>
  <c r="S103" i="20"/>
  <c r="Q103" i="20"/>
  <c r="O103" i="20"/>
  <c r="M103" i="20"/>
  <c r="K103" i="20"/>
  <c r="X102" i="20"/>
  <c r="W102" i="20"/>
  <c r="V102" i="20"/>
  <c r="U102" i="20"/>
  <c r="T102" i="20"/>
  <c r="S102" i="20"/>
  <c r="Q102" i="20"/>
  <c r="O102" i="20"/>
  <c r="M102" i="20"/>
  <c r="K102" i="20"/>
  <c r="X101" i="20"/>
  <c r="W101" i="20"/>
  <c r="V101" i="20"/>
  <c r="U101" i="20"/>
  <c r="T101" i="20"/>
  <c r="S101" i="20"/>
  <c r="Q101" i="20"/>
  <c r="O101" i="20"/>
  <c r="M101" i="20"/>
  <c r="K101" i="20"/>
  <c r="X100" i="20"/>
  <c r="W100" i="20"/>
  <c r="V100" i="20"/>
  <c r="U100" i="20"/>
  <c r="T100" i="20"/>
  <c r="S100" i="20"/>
  <c r="Q100" i="20"/>
  <c r="O100" i="20"/>
  <c r="M100" i="20"/>
  <c r="K100" i="20"/>
  <c r="X99" i="20"/>
  <c r="W99" i="20"/>
  <c r="V99" i="20"/>
  <c r="U99" i="20"/>
  <c r="T99" i="20"/>
  <c r="S99" i="20"/>
  <c r="Q99" i="20"/>
  <c r="O99" i="20"/>
  <c r="M99" i="20"/>
  <c r="K99" i="20"/>
  <c r="X98" i="20"/>
  <c r="W98" i="20"/>
  <c r="V98" i="20"/>
  <c r="U98" i="20"/>
  <c r="T98" i="20"/>
  <c r="S98" i="20"/>
  <c r="Q98" i="20"/>
  <c r="O98" i="20"/>
  <c r="M98" i="20"/>
  <c r="K98" i="20"/>
  <c r="X97" i="20"/>
  <c r="W97" i="20"/>
  <c r="V97" i="20"/>
  <c r="U97" i="20"/>
  <c r="T97" i="20"/>
  <c r="S97" i="20"/>
  <c r="Q97" i="20"/>
  <c r="O97" i="20"/>
  <c r="M97" i="20"/>
  <c r="K97" i="20"/>
  <c r="X96" i="20"/>
  <c r="W96" i="20"/>
  <c r="V96" i="20"/>
  <c r="U96" i="20"/>
  <c r="T96" i="20"/>
  <c r="S96" i="20"/>
  <c r="Q96" i="20"/>
  <c r="O96" i="20"/>
  <c r="M96" i="20"/>
  <c r="K96" i="20"/>
  <c r="X95" i="20"/>
  <c r="W95" i="20"/>
  <c r="V95" i="20"/>
  <c r="U95" i="20"/>
  <c r="T95" i="20"/>
  <c r="S95" i="20"/>
  <c r="Q95" i="20"/>
  <c r="O95" i="20"/>
  <c r="M95" i="20"/>
  <c r="K95" i="20"/>
  <c r="X94" i="20"/>
  <c r="W94" i="20"/>
  <c r="V94" i="20"/>
  <c r="U94" i="20"/>
  <c r="T94" i="20"/>
  <c r="S94" i="20"/>
  <c r="Q94" i="20"/>
  <c r="O94" i="20"/>
  <c r="M94" i="20"/>
  <c r="K94" i="20"/>
  <c r="X93" i="20"/>
  <c r="W93" i="20"/>
  <c r="V93" i="20"/>
  <c r="U93" i="20"/>
  <c r="T93" i="20"/>
  <c r="S93" i="20"/>
  <c r="Q93" i="20"/>
  <c r="O93" i="20"/>
  <c r="M93" i="20"/>
  <c r="K93" i="20"/>
  <c r="X92" i="20"/>
  <c r="W92" i="20"/>
  <c r="V92" i="20"/>
  <c r="U92" i="20"/>
  <c r="T92" i="20"/>
  <c r="S92" i="20"/>
  <c r="Q92" i="20"/>
  <c r="O92" i="20"/>
  <c r="M92" i="20"/>
  <c r="K92" i="20"/>
  <c r="X91" i="20"/>
  <c r="W91" i="20"/>
  <c r="V91" i="20"/>
  <c r="U91" i="20"/>
  <c r="T91" i="20"/>
  <c r="S91" i="20"/>
  <c r="Q91" i="20"/>
  <c r="O91" i="20"/>
  <c r="M91" i="20"/>
  <c r="K91" i="20"/>
  <c r="X90" i="20"/>
  <c r="W90" i="20"/>
  <c r="V90" i="20"/>
  <c r="U90" i="20"/>
  <c r="T90" i="20"/>
  <c r="S90" i="20"/>
  <c r="Q90" i="20"/>
  <c r="O90" i="20"/>
  <c r="M90" i="20"/>
  <c r="K90" i="20"/>
  <c r="X89" i="20"/>
  <c r="W89" i="20"/>
  <c r="V89" i="20"/>
  <c r="U89" i="20"/>
  <c r="T89" i="20"/>
  <c r="S89" i="20"/>
  <c r="Q89" i="20"/>
  <c r="O89" i="20"/>
  <c r="M89" i="20"/>
  <c r="K89" i="20"/>
  <c r="X88" i="20"/>
  <c r="W88" i="20"/>
  <c r="V88" i="20"/>
  <c r="U88" i="20"/>
  <c r="T88" i="20"/>
  <c r="S88" i="20"/>
  <c r="Q88" i="20"/>
  <c r="O88" i="20"/>
  <c r="M88" i="20"/>
  <c r="K88" i="20"/>
  <c r="X87" i="20"/>
  <c r="W87" i="20"/>
  <c r="V87" i="20"/>
  <c r="U87" i="20"/>
  <c r="T87" i="20"/>
  <c r="S87" i="20"/>
  <c r="Q87" i="20"/>
  <c r="O87" i="20"/>
  <c r="M87" i="20"/>
  <c r="K87" i="20"/>
  <c r="X86" i="20"/>
  <c r="W86" i="20"/>
  <c r="V86" i="20"/>
  <c r="U86" i="20"/>
  <c r="T86" i="20"/>
  <c r="S86" i="20"/>
  <c r="Q86" i="20"/>
  <c r="O86" i="20"/>
  <c r="M86" i="20"/>
  <c r="K86" i="20"/>
  <c r="X85" i="20"/>
  <c r="W85" i="20"/>
  <c r="V85" i="20"/>
  <c r="U85" i="20"/>
  <c r="T85" i="20"/>
  <c r="S85" i="20"/>
  <c r="Q85" i="20"/>
  <c r="O85" i="20"/>
  <c r="M85" i="20"/>
  <c r="K85" i="20"/>
  <c r="X84" i="20"/>
  <c r="W84" i="20"/>
  <c r="V84" i="20"/>
  <c r="U84" i="20"/>
  <c r="T84" i="20"/>
  <c r="S84" i="20"/>
  <c r="Q84" i="20"/>
  <c r="O84" i="20"/>
  <c r="M84" i="20"/>
  <c r="K84" i="20"/>
  <c r="X83" i="20"/>
  <c r="W83" i="20"/>
  <c r="V83" i="20"/>
  <c r="U83" i="20"/>
  <c r="T83" i="20"/>
  <c r="S83" i="20"/>
  <c r="Q83" i="20"/>
  <c r="O83" i="20"/>
  <c r="M83" i="20"/>
  <c r="K83" i="20"/>
  <c r="X82" i="20"/>
  <c r="W82" i="20"/>
  <c r="V82" i="20"/>
  <c r="U82" i="20"/>
  <c r="T82" i="20"/>
  <c r="S82" i="20"/>
  <c r="Q82" i="20"/>
  <c r="O82" i="20"/>
  <c r="M82" i="20"/>
  <c r="K82" i="20"/>
  <c r="X81" i="20"/>
  <c r="W81" i="20"/>
  <c r="V81" i="20"/>
  <c r="U81" i="20"/>
  <c r="T81" i="20"/>
  <c r="S81" i="20"/>
  <c r="Q81" i="20"/>
  <c r="O81" i="20"/>
  <c r="M81" i="20"/>
  <c r="K81" i="20"/>
  <c r="X80" i="20"/>
  <c r="W80" i="20"/>
  <c r="V80" i="20"/>
  <c r="U80" i="20"/>
  <c r="T80" i="20"/>
  <c r="S80" i="20"/>
  <c r="Q80" i="20"/>
  <c r="O80" i="20"/>
  <c r="M80" i="20"/>
  <c r="K80" i="20"/>
  <c r="X79" i="20"/>
  <c r="W79" i="20"/>
  <c r="V79" i="20"/>
  <c r="U79" i="20"/>
  <c r="T79" i="20"/>
  <c r="S79" i="20"/>
  <c r="Q79" i="20"/>
  <c r="O79" i="20"/>
  <c r="M79" i="20"/>
  <c r="K79" i="20"/>
  <c r="X78" i="20"/>
  <c r="W78" i="20"/>
  <c r="V78" i="20"/>
  <c r="U78" i="20"/>
  <c r="T78" i="20"/>
  <c r="S78" i="20"/>
  <c r="Q78" i="20"/>
  <c r="O78" i="20"/>
  <c r="M78" i="20"/>
  <c r="K78" i="20"/>
  <c r="X77" i="20"/>
  <c r="W77" i="20"/>
  <c r="V77" i="20"/>
  <c r="U77" i="20"/>
  <c r="T77" i="20"/>
  <c r="S77" i="20"/>
  <c r="Q77" i="20"/>
  <c r="O77" i="20"/>
  <c r="M77" i="20"/>
  <c r="K77" i="20"/>
  <c r="X76" i="20"/>
  <c r="W76" i="20"/>
  <c r="V76" i="20"/>
  <c r="U76" i="20"/>
  <c r="T76" i="20"/>
  <c r="S76" i="20"/>
  <c r="Q76" i="20"/>
  <c r="O76" i="20"/>
  <c r="M76" i="20"/>
  <c r="K76" i="20"/>
  <c r="X75" i="20"/>
  <c r="W75" i="20"/>
  <c r="V75" i="20"/>
  <c r="U75" i="20"/>
  <c r="T75" i="20"/>
  <c r="S75" i="20"/>
  <c r="Q75" i="20"/>
  <c r="O75" i="20"/>
  <c r="M75" i="20"/>
  <c r="K75" i="20"/>
  <c r="X74" i="20"/>
  <c r="W74" i="20"/>
  <c r="V74" i="20"/>
  <c r="U74" i="20"/>
  <c r="T74" i="20"/>
  <c r="S74" i="20"/>
  <c r="Q74" i="20"/>
  <c r="O74" i="20"/>
  <c r="M74" i="20"/>
  <c r="K74" i="20"/>
  <c r="X73" i="20"/>
  <c r="W73" i="20"/>
  <c r="V73" i="20"/>
  <c r="U73" i="20"/>
  <c r="T73" i="20"/>
  <c r="S73" i="20"/>
  <c r="Q73" i="20"/>
  <c r="O73" i="20"/>
  <c r="M73" i="20"/>
  <c r="K73" i="20"/>
  <c r="X72" i="20"/>
  <c r="W72" i="20"/>
  <c r="V72" i="20"/>
  <c r="U72" i="20"/>
  <c r="T72" i="20"/>
  <c r="S72" i="20"/>
  <c r="Q72" i="20"/>
  <c r="O72" i="20"/>
  <c r="M72" i="20"/>
  <c r="K72" i="20"/>
  <c r="X71" i="20"/>
  <c r="W71" i="20"/>
  <c r="V71" i="20"/>
  <c r="U71" i="20"/>
  <c r="T71" i="20"/>
  <c r="S71" i="20"/>
  <c r="Q71" i="20"/>
  <c r="O71" i="20"/>
  <c r="M71" i="20"/>
  <c r="K71" i="20"/>
  <c r="X70" i="20"/>
  <c r="W70" i="20"/>
  <c r="V70" i="20"/>
  <c r="U70" i="20"/>
  <c r="T70" i="20"/>
  <c r="S70" i="20"/>
  <c r="Q70" i="20"/>
  <c r="O70" i="20"/>
  <c r="M70" i="20"/>
  <c r="K70" i="20"/>
  <c r="X69" i="20"/>
  <c r="W69" i="20"/>
  <c r="V69" i="20"/>
  <c r="U69" i="20"/>
  <c r="T69" i="20"/>
  <c r="S69" i="20"/>
  <c r="Q69" i="20"/>
  <c r="O69" i="20"/>
  <c r="M69" i="20"/>
  <c r="K69" i="20"/>
  <c r="X68" i="20"/>
  <c r="W68" i="20"/>
  <c r="V68" i="20"/>
  <c r="U68" i="20"/>
  <c r="T68" i="20"/>
  <c r="S68" i="20"/>
  <c r="Q68" i="20"/>
  <c r="O68" i="20"/>
  <c r="M68" i="20"/>
  <c r="K68" i="20"/>
  <c r="X67" i="20"/>
  <c r="W67" i="20"/>
  <c r="V67" i="20"/>
  <c r="U67" i="20"/>
  <c r="T67" i="20"/>
  <c r="S67" i="20"/>
  <c r="Q67" i="20"/>
  <c r="O67" i="20"/>
  <c r="M67" i="20"/>
  <c r="K67" i="20"/>
  <c r="X66" i="20"/>
  <c r="W66" i="20"/>
  <c r="V66" i="20"/>
  <c r="U66" i="20"/>
  <c r="T66" i="20"/>
  <c r="S66" i="20"/>
  <c r="Q66" i="20"/>
  <c r="O66" i="20"/>
  <c r="M66" i="20"/>
  <c r="K66" i="20"/>
  <c r="X65" i="20"/>
  <c r="W65" i="20"/>
  <c r="V65" i="20"/>
  <c r="U65" i="20"/>
  <c r="T65" i="20"/>
  <c r="S65" i="20"/>
  <c r="Q65" i="20"/>
  <c r="O65" i="20"/>
  <c r="M65" i="20"/>
  <c r="K65" i="20"/>
  <c r="X64" i="20"/>
  <c r="W64" i="20"/>
  <c r="V64" i="20"/>
  <c r="U64" i="20"/>
  <c r="T64" i="20"/>
  <c r="S64" i="20"/>
  <c r="Q64" i="20"/>
  <c r="O64" i="20"/>
  <c r="M64" i="20"/>
  <c r="K64" i="20"/>
  <c r="X63" i="20"/>
  <c r="W63" i="20"/>
  <c r="V63" i="20"/>
  <c r="U63" i="20"/>
  <c r="T63" i="20"/>
  <c r="S63" i="20"/>
  <c r="Q63" i="20"/>
  <c r="O63" i="20"/>
  <c r="M63" i="20"/>
  <c r="K63" i="20"/>
  <c r="X62" i="20"/>
  <c r="W62" i="20"/>
  <c r="V62" i="20"/>
  <c r="U62" i="20"/>
  <c r="T62" i="20"/>
  <c r="S62" i="20"/>
  <c r="Q62" i="20"/>
  <c r="O62" i="20"/>
  <c r="M62" i="20"/>
  <c r="K62" i="20"/>
  <c r="X61" i="20"/>
  <c r="W61" i="20"/>
  <c r="V61" i="20"/>
  <c r="U61" i="20"/>
  <c r="T61" i="20"/>
  <c r="S61" i="20"/>
  <c r="Q61" i="20"/>
  <c r="O61" i="20"/>
  <c r="M61" i="20"/>
  <c r="K61" i="20"/>
  <c r="X60" i="20"/>
  <c r="W60" i="20"/>
  <c r="V60" i="20"/>
  <c r="U60" i="20"/>
  <c r="T60" i="20"/>
  <c r="S60" i="20"/>
  <c r="Q60" i="20"/>
  <c r="O60" i="20"/>
  <c r="M60" i="20"/>
  <c r="K60" i="20"/>
  <c r="X59" i="20"/>
  <c r="W59" i="20"/>
  <c r="V59" i="20"/>
  <c r="U59" i="20"/>
  <c r="T59" i="20"/>
  <c r="S59" i="20"/>
  <c r="Q59" i="20"/>
  <c r="O59" i="20"/>
  <c r="M59" i="20"/>
  <c r="K59" i="20"/>
  <c r="X58" i="20"/>
  <c r="W58" i="20"/>
  <c r="V58" i="20"/>
  <c r="U58" i="20"/>
  <c r="T58" i="20"/>
  <c r="S58" i="20"/>
  <c r="Q58" i="20"/>
  <c r="O58" i="20"/>
  <c r="M58" i="20"/>
  <c r="K58" i="20"/>
  <c r="X57" i="20"/>
  <c r="W57" i="20"/>
  <c r="V57" i="20"/>
  <c r="U57" i="20"/>
  <c r="T57" i="20"/>
  <c r="S57" i="20"/>
  <c r="Q57" i="20"/>
  <c r="O57" i="20"/>
  <c r="M57" i="20"/>
  <c r="K57" i="20"/>
  <c r="X56" i="20"/>
  <c r="W56" i="20"/>
  <c r="V56" i="20"/>
  <c r="U56" i="20"/>
  <c r="T56" i="20"/>
  <c r="S56" i="20"/>
  <c r="Q56" i="20"/>
  <c r="O56" i="20"/>
  <c r="M56" i="20"/>
  <c r="K56" i="20"/>
  <c r="X55" i="20"/>
  <c r="W55" i="20"/>
  <c r="V55" i="20"/>
  <c r="U55" i="20"/>
  <c r="T55" i="20"/>
  <c r="S55" i="20"/>
  <c r="Q55" i="20"/>
  <c r="O55" i="20"/>
  <c r="M55" i="20"/>
  <c r="K55" i="20"/>
  <c r="X54" i="20"/>
  <c r="W54" i="20"/>
  <c r="V54" i="20"/>
  <c r="U54" i="20"/>
  <c r="T54" i="20"/>
  <c r="S54" i="20"/>
  <c r="Q54" i="20"/>
  <c r="O54" i="20"/>
  <c r="M54" i="20"/>
  <c r="K54" i="20"/>
  <c r="X53" i="20"/>
  <c r="W53" i="20"/>
  <c r="V53" i="20"/>
  <c r="U53" i="20"/>
  <c r="T53" i="20"/>
  <c r="S53" i="20"/>
  <c r="Q53" i="20"/>
  <c r="O53" i="20"/>
  <c r="M53" i="20"/>
  <c r="K53" i="20"/>
  <c r="X52" i="20"/>
  <c r="W52" i="20"/>
  <c r="V52" i="20"/>
  <c r="U52" i="20"/>
  <c r="T52" i="20"/>
  <c r="S52" i="20"/>
  <c r="Q52" i="20"/>
  <c r="O52" i="20"/>
  <c r="M52" i="20"/>
  <c r="K52" i="20"/>
  <c r="X51" i="20"/>
  <c r="W51" i="20"/>
  <c r="V51" i="20"/>
  <c r="U51" i="20"/>
  <c r="T51" i="20"/>
  <c r="S51" i="20"/>
  <c r="Q51" i="20"/>
  <c r="O51" i="20"/>
  <c r="M51" i="20"/>
  <c r="K51" i="20"/>
  <c r="X50" i="20"/>
  <c r="W50" i="20"/>
  <c r="V50" i="20"/>
  <c r="U50" i="20"/>
  <c r="T50" i="20"/>
  <c r="S50" i="20"/>
  <c r="Q50" i="20"/>
  <c r="O50" i="20"/>
  <c r="M50" i="20"/>
  <c r="K50" i="20"/>
  <c r="X49" i="20"/>
  <c r="W49" i="20"/>
  <c r="V49" i="20"/>
  <c r="U49" i="20"/>
  <c r="T49" i="20"/>
  <c r="S49" i="20"/>
  <c r="Q49" i="20"/>
  <c r="O49" i="20"/>
  <c r="M49" i="20"/>
  <c r="K49" i="20"/>
  <c r="X48" i="20"/>
  <c r="W48" i="20"/>
  <c r="V48" i="20"/>
  <c r="U48" i="20"/>
  <c r="T48" i="20"/>
  <c r="S48" i="20"/>
  <c r="Q48" i="20"/>
  <c r="O48" i="20"/>
  <c r="M48" i="20"/>
  <c r="K48" i="20"/>
  <c r="X47" i="20"/>
  <c r="W47" i="20"/>
  <c r="V47" i="20"/>
  <c r="U47" i="20"/>
  <c r="T47" i="20"/>
  <c r="S47" i="20"/>
  <c r="Q47" i="20"/>
  <c r="O47" i="20"/>
  <c r="M47" i="20"/>
  <c r="K47" i="20"/>
  <c r="X46" i="20"/>
  <c r="W46" i="20"/>
  <c r="V46" i="20"/>
  <c r="U46" i="20"/>
  <c r="T46" i="20"/>
  <c r="S46" i="20"/>
  <c r="Q46" i="20"/>
  <c r="O46" i="20"/>
  <c r="M46" i="20"/>
  <c r="K46" i="20"/>
  <c r="X45" i="20"/>
  <c r="W45" i="20"/>
  <c r="V45" i="20"/>
  <c r="U45" i="20"/>
  <c r="T45" i="20"/>
  <c r="S45" i="20"/>
  <c r="Q45" i="20"/>
  <c r="O45" i="20"/>
  <c r="M45" i="20"/>
  <c r="K45" i="20"/>
  <c r="X44" i="20"/>
  <c r="W44" i="20"/>
  <c r="V44" i="20"/>
  <c r="U44" i="20"/>
  <c r="T44" i="20"/>
  <c r="S44" i="20"/>
  <c r="Q44" i="20"/>
  <c r="O44" i="20"/>
  <c r="M44" i="20"/>
  <c r="K44" i="20"/>
  <c r="X43" i="20"/>
  <c r="W43" i="20"/>
  <c r="V43" i="20"/>
  <c r="U43" i="20"/>
  <c r="T43" i="20"/>
  <c r="S43" i="20"/>
  <c r="Q43" i="20"/>
  <c r="O43" i="20"/>
  <c r="M43" i="20"/>
  <c r="K43" i="20"/>
  <c r="X42" i="20"/>
  <c r="W42" i="20"/>
  <c r="V42" i="20"/>
  <c r="U42" i="20"/>
  <c r="T42" i="20"/>
  <c r="S42" i="20"/>
  <c r="Q42" i="20"/>
  <c r="O42" i="20"/>
  <c r="M42" i="20"/>
  <c r="K42" i="20"/>
  <c r="X41" i="20"/>
  <c r="W41" i="20"/>
  <c r="V41" i="20"/>
  <c r="U41" i="20"/>
  <c r="T41" i="20"/>
  <c r="S41" i="20"/>
  <c r="Q41" i="20"/>
  <c r="O41" i="20"/>
  <c r="M41" i="20"/>
  <c r="K41" i="20"/>
  <c r="X40" i="20"/>
  <c r="W40" i="20"/>
  <c r="V40" i="20"/>
  <c r="U40" i="20"/>
  <c r="T40" i="20"/>
  <c r="S40" i="20"/>
  <c r="Q40" i="20"/>
  <c r="O40" i="20"/>
  <c r="M40" i="20"/>
  <c r="K40" i="20"/>
  <c r="X39" i="20"/>
  <c r="W39" i="20"/>
  <c r="V39" i="20"/>
  <c r="U39" i="20"/>
  <c r="T39" i="20"/>
  <c r="S39" i="20"/>
  <c r="Q39" i="20"/>
  <c r="O39" i="20"/>
  <c r="M39" i="20"/>
  <c r="K39" i="20"/>
  <c r="X38" i="20"/>
  <c r="W38" i="20"/>
  <c r="V38" i="20"/>
  <c r="U38" i="20"/>
  <c r="T38" i="20"/>
  <c r="S38" i="20"/>
  <c r="Q38" i="20"/>
  <c r="O38" i="20"/>
  <c r="M38" i="20"/>
  <c r="K38" i="20"/>
  <c r="X37" i="20"/>
  <c r="W37" i="20"/>
  <c r="V37" i="20"/>
  <c r="U37" i="20"/>
  <c r="T37" i="20"/>
  <c r="S37" i="20"/>
  <c r="Q37" i="20"/>
  <c r="O37" i="20"/>
  <c r="M37" i="20"/>
  <c r="K37" i="20"/>
  <c r="X36" i="20"/>
  <c r="W36" i="20"/>
  <c r="V36" i="20"/>
  <c r="U36" i="20"/>
  <c r="T36" i="20"/>
  <c r="S36" i="20"/>
  <c r="Q36" i="20"/>
  <c r="O36" i="20"/>
  <c r="M36" i="20"/>
  <c r="K36" i="20"/>
  <c r="X35" i="20"/>
  <c r="W35" i="20"/>
  <c r="V35" i="20"/>
  <c r="U35" i="20"/>
  <c r="T35" i="20"/>
  <c r="S35" i="20"/>
  <c r="Q35" i="20"/>
  <c r="O35" i="20"/>
  <c r="M35" i="20"/>
  <c r="K35" i="20"/>
  <c r="X34" i="20"/>
  <c r="W34" i="20"/>
  <c r="V34" i="20"/>
  <c r="U34" i="20"/>
  <c r="T34" i="20"/>
  <c r="S34" i="20"/>
  <c r="Q34" i="20"/>
  <c r="O34" i="20"/>
  <c r="M34" i="20"/>
  <c r="K34" i="20"/>
  <c r="X33" i="20"/>
  <c r="W33" i="20"/>
  <c r="V33" i="20"/>
  <c r="U33" i="20"/>
  <c r="T33" i="20"/>
  <c r="S33" i="20"/>
  <c r="Q33" i="20"/>
  <c r="O33" i="20"/>
  <c r="M33" i="20"/>
  <c r="K33" i="20"/>
  <c r="X32" i="20"/>
  <c r="W32" i="20"/>
  <c r="V32" i="20"/>
  <c r="U32" i="20"/>
  <c r="T32" i="20"/>
  <c r="S32" i="20"/>
  <c r="Q32" i="20"/>
  <c r="O32" i="20"/>
  <c r="M32" i="20"/>
  <c r="K32" i="20"/>
  <c r="X31" i="20"/>
  <c r="W31" i="20"/>
  <c r="V31" i="20"/>
  <c r="U31" i="20"/>
  <c r="T31" i="20"/>
  <c r="S31" i="20"/>
  <c r="Q31" i="20"/>
  <c r="O31" i="20"/>
  <c r="M31" i="20"/>
  <c r="K31" i="20"/>
  <c r="X30" i="20"/>
  <c r="W30" i="20"/>
  <c r="V30" i="20"/>
  <c r="U30" i="20"/>
  <c r="T30" i="20"/>
  <c r="S30" i="20"/>
  <c r="Q30" i="20"/>
  <c r="O30" i="20"/>
  <c r="M30" i="20"/>
  <c r="K30" i="20"/>
  <c r="X29" i="20"/>
  <c r="W29" i="20"/>
  <c r="V29" i="20"/>
  <c r="U29" i="20"/>
  <c r="T29" i="20"/>
  <c r="S29" i="20"/>
  <c r="Q29" i="20"/>
  <c r="O29" i="20"/>
  <c r="M29" i="20"/>
  <c r="K29" i="20"/>
  <c r="X28" i="20"/>
  <c r="W28" i="20"/>
  <c r="V28" i="20"/>
  <c r="U28" i="20"/>
  <c r="T28" i="20"/>
  <c r="S28" i="20"/>
  <c r="Q28" i="20"/>
  <c r="O28" i="20"/>
  <c r="M28" i="20"/>
  <c r="K28" i="20"/>
  <c r="X27" i="20"/>
  <c r="W27" i="20"/>
  <c r="V27" i="20"/>
  <c r="U27" i="20"/>
  <c r="T27" i="20"/>
  <c r="S27" i="20"/>
  <c r="Q27" i="20"/>
  <c r="O27" i="20"/>
  <c r="M27" i="20"/>
  <c r="K27" i="20"/>
  <c r="X26" i="20"/>
  <c r="W26" i="20"/>
  <c r="V26" i="20"/>
  <c r="U26" i="20"/>
  <c r="T26" i="20"/>
  <c r="S26" i="20"/>
  <c r="Q26" i="20"/>
  <c r="O26" i="20"/>
  <c r="M26" i="20"/>
  <c r="K26" i="20"/>
  <c r="X25" i="20"/>
  <c r="W25" i="20"/>
  <c r="V25" i="20"/>
  <c r="U25" i="20"/>
  <c r="T25" i="20"/>
  <c r="S25" i="20"/>
  <c r="Q25" i="20"/>
  <c r="O25" i="20"/>
  <c r="M25" i="20"/>
  <c r="K25" i="20"/>
  <c r="X24" i="20"/>
  <c r="W24" i="20"/>
  <c r="V24" i="20"/>
  <c r="U24" i="20"/>
  <c r="T24" i="20"/>
  <c r="S24" i="20"/>
  <c r="Q24" i="20"/>
  <c r="O24" i="20"/>
  <c r="M24" i="20"/>
  <c r="K24" i="20"/>
  <c r="X23" i="20"/>
  <c r="W23" i="20"/>
  <c r="V23" i="20"/>
  <c r="U23" i="20"/>
  <c r="T23" i="20"/>
  <c r="S23" i="20"/>
  <c r="Q23" i="20"/>
  <c r="O23" i="20"/>
  <c r="M23" i="20"/>
  <c r="K23" i="20"/>
  <c r="X22" i="20"/>
  <c r="W22" i="20"/>
  <c r="V22" i="20"/>
  <c r="U22" i="20"/>
  <c r="T22" i="20"/>
  <c r="S22" i="20"/>
  <c r="Q22" i="20"/>
  <c r="O22" i="20"/>
  <c r="M22" i="20"/>
  <c r="K22" i="20"/>
  <c r="X21" i="20"/>
  <c r="W21" i="20"/>
  <c r="V21" i="20"/>
  <c r="U21" i="20"/>
  <c r="T21" i="20"/>
  <c r="S21" i="20"/>
  <c r="Q21" i="20"/>
  <c r="O21" i="20"/>
  <c r="M21" i="20"/>
  <c r="K21" i="20"/>
  <c r="X20" i="20"/>
  <c r="W20" i="20"/>
  <c r="V20" i="20"/>
  <c r="U20" i="20"/>
  <c r="T20" i="20"/>
  <c r="S20" i="20"/>
  <c r="Q20" i="20"/>
  <c r="O20" i="20"/>
  <c r="M20" i="20"/>
  <c r="K20" i="20"/>
  <c r="X19" i="20"/>
  <c r="W19" i="20"/>
  <c r="V19" i="20"/>
  <c r="U19" i="20"/>
  <c r="T19" i="20"/>
  <c r="S19" i="20"/>
  <c r="Q19" i="20"/>
  <c r="O19" i="20"/>
  <c r="M19" i="20"/>
  <c r="K19" i="20"/>
  <c r="X18" i="20"/>
  <c r="W18" i="20"/>
  <c r="V18" i="20"/>
  <c r="U18" i="20"/>
  <c r="T18" i="20"/>
  <c r="S18" i="20"/>
  <c r="Q18" i="20"/>
  <c r="O18" i="20"/>
  <c r="M18" i="20"/>
  <c r="K18" i="20"/>
  <c r="X17" i="20"/>
  <c r="W17" i="20"/>
  <c r="V17" i="20"/>
  <c r="U17" i="20"/>
  <c r="T17" i="20"/>
  <c r="S17" i="20"/>
  <c r="Q17" i="20"/>
  <c r="O17" i="20"/>
  <c r="M17" i="20"/>
  <c r="K17" i="20"/>
  <c r="X16" i="20"/>
  <c r="W16" i="20"/>
  <c r="V16" i="20"/>
  <c r="U16" i="20"/>
  <c r="T16" i="20"/>
  <c r="S16" i="20"/>
  <c r="Q16" i="20"/>
  <c r="O16" i="20"/>
  <c r="M16" i="20"/>
  <c r="K16" i="20"/>
  <c r="X15" i="20"/>
  <c r="W15" i="20"/>
  <c r="V15" i="20"/>
  <c r="U15" i="20"/>
  <c r="T15" i="20"/>
  <c r="S15" i="20"/>
  <c r="Q15" i="20"/>
  <c r="O15" i="20"/>
  <c r="M15" i="20"/>
  <c r="K15" i="20"/>
  <c r="X14" i="20"/>
  <c r="W14" i="20"/>
  <c r="V14" i="20"/>
  <c r="U14" i="20"/>
  <c r="T14" i="20"/>
  <c r="S14" i="20"/>
  <c r="Q14" i="20"/>
  <c r="O14" i="20"/>
  <c r="M14" i="20"/>
  <c r="K14" i="20"/>
  <c r="X13" i="20"/>
  <c r="W13" i="20"/>
  <c r="V13" i="20"/>
  <c r="U13" i="20"/>
  <c r="T13" i="20"/>
  <c r="S13" i="20"/>
  <c r="Q13" i="20"/>
  <c r="O13" i="20"/>
  <c r="M13" i="20"/>
  <c r="K13" i="20"/>
  <c r="X12" i="20"/>
  <c r="W12" i="20"/>
  <c r="V12" i="20"/>
  <c r="U12" i="20"/>
  <c r="T12" i="20"/>
  <c r="S12" i="20"/>
  <c r="Q12" i="20"/>
  <c r="O12" i="20"/>
  <c r="M12" i="20"/>
  <c r="K12" i="20"/>
  <c r="X11" i="20"/>
  <c r="W11" i="20"/>
  <c r="V11" i="20"/>
  <c r="U11" i="20"/>
  <c r="T11" i="20"/>
  <c r="S11" i="20"/>
  <c r="Q11" i="20"/>
  <c r="O11" i="20"/>
  <c r="M11" i="20"/>
  <c r="K11" i="20"/>
  <c r="X10" i="20"/>
  <c r="W10" i="20"/>
  <c r="V10" i="20"/>
  <c r="U10" i="20"/>
  <c r="T10" i="20"/>
  <c r="S10" i="20"/>
  <c r="Q10" i="20"/>
  <c r="O10" i="20"/>
  <c r="M10" i="20"/>
  <c r="K10" i="20"/>
  <c r="X9" i="20"/>
  <c r="W9" i="20"/>
  <c r="V9" i="20"/>
  <c r="U9" i="20"/>
  <c r="T9" i="20"/>
  <c r="S9" i="20"/>
  <c r="Q9" i="20"/>
  <c r="O9" i="20"/>
  <c r="M9" i="20"/>
  <c r="K9" i="20"/>
  <c r="X8" i="20"/>
  <c r="W8" i="20"/>
  <c r="V8" i="20"/>
  <c r="U8" i="20"/>
  <c r="T8" i="20"/>
  <c r="S8" i="20"/>
  <c r="Q8" i="20"/>
  <c r="O8" i="20"/>
  <c r="M8" i="20"/>
  <c r="K8" i="20"/>
  <c r="X7" i="20"/>
  <c r="W7" i="20"/>
  <c r="V7" i="20"/>
  <c r="U7" i="20"/>
  <c r="T7" i="20"/>
  <c r="S7" i="20"/>
  <c r="Q7" i="20"/>
  <c r="O7" i="20"/>
  <c r="M7" i="20"/>
  <c r="K7" i="20"/>
  <c r="X303" i="19"/>
  <c r="W303" i="19"/>
  <c r="V303" i="19"/>
  <c r="U303" i="19"/>
  <c r="T303" i="19"/>
  <c r="S303" i="19"/>
  <c r="Q303" i="19"/>
  <c r="O303" i="19"/>
  <c r="M303" i="19"/>
  <c r="K303" i="19"/>
  <c r="X302" i="19"/>
  <c r="W302" i="19"/>
  <c r="V302" i="19"/>
  <c r="U302" i="19"/>
  <c r="T302" i="19"/>
  <c r="S302" i="19"/>
  <c r="Q302" i="19"/>
  <c r="O302" i="19"/>
  <c r="M302" i="19"/>
  <c r="K302" i="19"/>
  <c r="X301" i="19"/>
  <c r="W301" i="19"/>
  <c r="V301" i="19"/>
  <c r="U301" i="19"/>
  <c r="T301" i="19"/>
  <c r="S301" i="19"/>
  <c r="Q301" i="19"/>
  <c r="O301" i="19"/>
  <c r="M301" i="19"/>
  <c r="K301" i="19"/>
  <c r="X300" i="19"/>
  <c r="W300" i="19"/>
  <c r="V300" i="19"/>
  <c r="U300" i="19"/>
  <c r="T300" i="19"/>
  <c r="S300" i="19"/>
  <c r="Q300" i="19"/>
  <c r="O300" i="19"/>
  <c r="M300" i="19"/>
  <c r="K300" i="19"/>
  <c r="X299" i="19"/>
  <c r="W299" i="19"/>
  <c r="V299" i="19"/>
  <c r="U299" i="19"/>
  <c r="T299" i="19"/>
  <c r="S299" i="19"/>
  <c r="Q299" i="19"/>
  <c r="O299" i="19"/>
  <c r="M299" i="19"/>
  <c r="K299" i="19"/>
  <c r="X298" i="19"/>
  <c r="W298" i="19"/>
  <c r="V298" i="19"/>
  <c r="U298" i="19"/>
  <c r="T298" i="19"/>
  <c r="S298" i="19"/>
  <c r="Q298" i="19"/>
  <c r="O298" i="19"/>
  <c r="M298" i="19"/>
  <c r="K298" i="19"/>
  <c r="X297" i="19"/>
  <c r="W297" i="19"/>
  <c r="V297" i="19"/>
  <c r="U297" i="19"/>
  <c r="T297" i="19"/>
  <c r="S297" i="19"/>
  <c r="Q297" i="19"/>
  <c r="O297" i="19"/>
  <c r="M297" i="19"/>
  <c r="K297" i="19"/>
  <c r="X296" i="19"/>
  <c r="W296" i="19"/>
  <c r="V296" i="19"/>
  <c r="U296" i="19"/>
  <c r="T296" i="19"/>
  <c r="S296" i="19"/>
  <c r="Q296" i="19"/>
  <c r="O296" i="19"/>
  <c r="M296" i="19"/>
  <c r="K296" i="19"/>
  <c r="X295" i="19"/>
  <c r="W295" i="19"/>
  <c r="V295" i="19"/>
  <c r="U295" i="19"/>
  <c r="T295" i="19"/>
  <c r="S295" i="19"/>
  <c r="Q295" i="19"/>
  <c r="O295" i="19"/>
  <c r="M295" i="19"/>
  <c r="K295" i="19"/>
  <c r="X294" i="19"/>
  <c r="W294" i="19"/>
  <c r="V294" i="19"/>
  <c r="U294" i="19"/>
  <c r="T294" i="19"/>
  <c r="S294" i="19"/>
  <c r="Q294" i="19"/>
  <c r="O294" i="19"/>
  <c r="M294" i="19"/>
  <c r="K294" i="19"/>
  <c r="X293" i="19"/>
  <c r="W293" i="19"/>
  <c r="V293" i="19"/>
  <c r="U293" i="19"/>
  <c r="T293" i="19"/>
  <c r="S293" i="19"/>
  <c r="Q293" i="19"/>
  <c r="O293" i="19"/>
  <c r="M293" i="19"/>
  <c r="K293" i="19"/>
  <c r="X292" i="19"/>
  <c r="W292" i="19"/>
  <c r="V292" i="19"/>
  <c r="U292" i="19"/>
  <c r="T292" i="19"/>
  <c r="S292" i="19"/>
  <c r="Q292" i="19"/>
  <c r="O292" i="19"/>
  <c r="M292" i="19"/>
  <c r="K292" i="19"/>
  <c r="X291" i="19"/>
  <c r="W291" i="19"/>
  <c r="V291" i="19"/>
  <c r="U291" i="19"/>
  <c r="T291" i="19"/>
  <c r="S291" i="19"/>
  <c r="Q291" i="19"/>
  <c r="O291" i="19"/>
  <c r="M291" i="19"/>
  <c r="K291" i="19"/>
  <c r="X290" i="19"/>
  <c r="W290" i="19"/>
  <c r="V290" i="19"/>
  <c r="U290" i="19"/>
  <c r="T290" i="19"/>
  <c r="S290" i="19"/>
  <c r="Q290" i="19"/>
  <c r="O290" i="19"/>
  <c r="M290" i="19"/>
  <c r="K290" i="19"/>
  <c r="X289" i="19"/>
  <c r="W289" i="19"/>
  <c r="V289" i="19"/>
  <c r="U289" i="19"/>
  <c r="T289" i="19"/>
  <c r="S289" i="19"/>
  <c r="Q289" i="19"/>
  <c r="O289" i="19"/>
  <c r="M289" i="19"/>
  <c r="K289" i="19"/>
  <c r="X288" i="19"/>
  <c r="W288" i="19"/>
  <c r="V288" i="19"/>
  <c r="U288" i="19"/>
  <c r="T288" i="19"/>
  <c r="S288" i="19"/>
  <c r="Q288" i="19"/>
  <c r="O288" i="19"/>
  <c r="M288" i="19"/>
  <c r="K288" i="19"/>
  <c r="X287" i="19"/>
  <c r="W287" i="19"/>
  <c r="V287" i="19"/>
  <c r="U287" i="19"/>
  <c r="T287" i="19"/>
  <c r="S287" i="19"/>
  <c r="Q287" i="19"/>
  <c r="O287" i="19"/>
  <c r="M287" i="19"/>
  <c r="K287" i="19"/>
  <c r="X286" i="19"/>
  <c r="W286" i="19"/>
  <c r="V286" i="19"/>
  <c r="U286" i="19"/>
  <c r="T286" i="19"/>
  <c r="S286" i="19"/>
  <c r="Q286" i="19"/>
  <c r="O286" i="19"/>
  <c r="M286" i="19"/>
  <c r="K286" i="19"/>
  <c r="X285" i="19"/>
  <c r="W285" i="19"/>
  <c r="V285" i="19"/>
  <c r="U285" i="19"/>
  <c r="T285" i="19"/>
  <c r="S285" i="19"/>
  <c r="Q285" i="19"/>
  <c r="O285" i="19"/>
  <c r="M285" i="19"/>
  <c r="K285" i="19"/>
  <c r="X284" i="19"/>
  <c r="W284" i="19"/>
  <c r="V284" i="19"/>
  <c r="U284" i="19"/>
  <c r="T284" i="19"/>
  <c r="S284" i="19"/>
  <c r="Q284" i="19"/>
  <c r="O284" i="19"/>
  <c r="M284" i="19"/>
  <c r="K284" i="19"/>
  <c r="X283" i="19"/>
  <c r="W283" i="19"/>
  <c r="V283" i="19"/>
  <c r="U283" i="19"/>
  <c r="T283" i="19"/>
  <c r="S283" i="19"/>
  <c r="Q283" i="19"/>
  <c r="O283" i="19"/>
  <c r="M283" i="19"/>
  <c r="K283" i="19"/>
  <c r="X282" i="19"/>
  <c r="W282" i="19"/>
  <c r="V282" i="19"/>
  <c r="U282" i="19"/>
  <c r="T282" i="19"/>
  <c r="S282" i="19"/>
  <c r="Q282" i="19"/>
  <c r="O282" i="19"/>
  <c r="M282" i="19"/>
  <c r="K282" i="19"/>
  <c r="X281" i="19"/>
  <c r="W281" i="19"/>
  <c r="V281" i="19"/>
  <c r="U281" i="19"/>
  <c r="T281" i="19"/>
  <c r="S281" i="19"/>
  <c r="Q281" i="19"/>
  <c r="O281" i="19"/>
  <c r="M281" i="19"/>
  <c r="K281" i="19"/>
  <c r="X280" i="19"/>
  <c r="W280" i="19"/>
  <c r="V280" i="19"/>
  <c r="U280" i="19"/>
  <c r="T280" i="19"/>
  <c r="S280" i="19"/>
  <c r="Q280" i="19"/>
  <c r="O280" i="19"/>
  <c r="M280" i="19"/>
  <c r="K280" i="19"/>
  <c r="X279" i="19"/>
  <c r="W279" i="19"/>
  <c r="V279" i="19"/>
  <c r="U279" i="19"/>
  <c r="T279" i="19"/>
  <c r="S279" i="19"/>
  <c r="Q279" i="19"/>
  <c r="O279" i="19"/>
  <c r="M279" i="19"/>
  <c r="K279" i="19"/>
  <c r="X278" i="19"/>
  <c r="W278" i="19"/>
  <c r="V278" i="19"/>
  <c r="U278" i="19"/>
  <c r="T278" i="19"/>
  <c r="S278" i="19"/>
  <c r="Q278" i="19"/>
  <c r="O278" i="19"/>
  <c r="M278" i="19"/>
  <c r="K278" i="19"/>
  <c r="X277" i="19"/>
  <c r="W277" i="19"/>
  <c r="V277" i="19"/>
  <c r="U277" i="19"/>
  <c r="T277" i="19"/>
  <c r="S277" i="19"/>
  <c r="Q277" i="19"/>
  <c r="O277" i="19"/>
  <c r="M277" i="19"/>
  <c r="K277" i="19"/>
  <c r="X276" i="19"/>
  <c r="W276" i="19"/>
  <c r="V276" i="19"/>
  <c r="U276" i="19"/>
  <c r="T276" i="19"/>
  <c r="S276" i="19"/>
  <c r="Q276" i="19"/>
  <c r="O276" i="19"/>
  <c r="M276" i="19"/>
  <c r="K276" i="19"/>
  <c r="X275" i="19"/>
  <c r="W275" i="19"/>
  <c r="V275" i="19"/>
  <c r="U275" i="19"/>
  <c r="T275" i="19"/>
  <c r="S275" i="19"/>
  <c r="Q275" i="19"/>
  <c r="O275" i="19"/>
  <c r="M275" i="19"/>
  <c r="K275" i="19"/>
  <c r="X274" i="19"/>
  <c r="W274" i="19"/>
  <c r="V274" i="19"/>
  <c r="U274" i="19"/>
  <c r="T274" i="19"/>
  <c r="S274" i="19"/>
  <c r="Q274" i="19"/>
  <c r="O274" i="19"/>
  <c r="M274" i="19"/>
  <c r="K274" i="19"/>
  <c r="X273" i="19"/>
  <c r="W273" i="19"/>
  <c r="V273" i="19"/>
  <c r="U273" i="19"/>
  <c r="T273" i="19"/>
  <c r="S273" i="19"/>
  <c r="Q273" i="19"/>
  <c r="O273" i="19"/>
  <c r="M273" i="19"/>
  <c r="K273" i="19"/>
  <c r="X272" i="19"/>
  <c r="W272" i="19"/>
  <c r="V272" i="19"/>
  <c r="U272" i="19"/>
  <c r="T272" i="19"/>
  <c r="S272" i="19"/>
  <c r="Q272" i="19"/>
  <c r="O272" i="19"/>
  <c r="M272" i="19"/>
  <c r="K272" i="19"/>
  <c r="X271" i="19"/>
  <c r="W271" i="19"/>
  <c r="V271" i="19"/>
  <c r="U271" i="19"/>
  <c r="T271" i="19"/>
  <c r="S271" i="19"/>
  <c r="Q271" i="19"/>
  <c r="O271" i="19"/>
  <c r="M271" i="19"/>
  <c r="K271" i="19"/>
  <c r="X270" i="19"/>
  <c r="W270" i="19"/>
  <c r="V270" i="19"/>
  <c r="U270" i="19"/>
  <c r="T270" i="19"/>
  <c r="S270" i="19"/>
  <c r="Q270" i="19"/>
  <c r="O270" i="19"/>
  <c r="M270" i="19"/>
  <c r="K270" i="19"/>
  <c r="X269" i="19"/>
  <c r="W269" i="19"/>
  <c r="V269" i="19"/>
  <c r="U269" i="19"/>
  <c r="T269" i="19"/>
  <c r="S269" i="19"/>
  <c r="Q269" i="19"/>
  <c r="O269" i="19"/>
  <c r="M269" i="19"/>
  <c r="K269" i="19"/>
  <c r="X268" i="19"/>
  <c r="W268" i="19"/>
  <c r="V268" i="19"/>
  <c r="U268" i="19"/>
  <c r="T268" i="19"/>
  <c r="S268" i="19"/>
  <c r="Q268" i="19"/>
  <c r="O268" i="19"/>
  <c r="M268" i="19"/>
  <c r="K268" i="19"/>
  <c r="X267" i="19"/>
  <c r="W267" i="19"/>
  <c r="V267" i="19"/>
  <c r="U267" i="19"/>
  <c r="T267" i="19"/>
  <c r="S267" i="19"/>
  <c r="Q267" i="19"/>
  <c r="O267" i="19"/>
  <c r="M267" i="19"/>
  <c r="K267" i="19"/>
  <c r="X266" i="19"/>
  <c r="W266" i="19"/>
  <c r="V266" i="19"/>
  <c r="U266" i="19"/>
  <c r="T266" i="19"/>
  <c r="S266" i="19"/>
  <c r="Q266" i="19"/>
  <c r="O266" i="19"/>
  <c r="M266" i="19"/>
  <c r="K266" i="19"/>
  <c r="X265" i="19"/>
  <c r="W265" i="19"/>
  <c r="V265" i="19"/>
  <c r="U265" i="19"/>
  <c r="T265" i="19"/>
  <c r="S265" i="19"/>
  <c r="Q265" i="19"/>
  <c r="O265" i="19"/>
  <c r="M265" i="19"/>
  <c r="K265" i="19"/>
  <c r="X264" i="19"/>
  <c r="W264" i="19"/>
  <c r="V264" i="19"/>
  <c r="U264" i="19"/>
  <c r="T264" i="19"/>
  <c r="S264" i="19"/>
  <c r="Q264" i="19"/>
  <c r="O264" i="19"/>
  <c r="M264" i="19"/>
  <c r="K264" i="19"/>
  <c r="X263" i="19"/>
  <c r="W263" i="19"/>
  <c r="V263" i="19"/>
  <c r="U263" i="19"/>
  <c r="T263" i="19"/>
  <c r="S263" i="19"/>
  <c r="Q263" i="19"/>
  <c r="O263" i="19"/>
  <c r="M263" i="19"/>
  <c r="K263" i="19"/>
  <c r="X262" i="19"/>
  <c r="W262" i="19"/>
  <c r="V262" i="19"/>
  <c r="U262" i="19"/>
  <c r="T262" i="19"/>
  <c r="S262" i="19"/>
  <c r="Q262" i="19"/>
  <c r="O262" i="19"/>
  <c r="M262" i="19"/>
  <c r="K262" i="19"/>
  <c r="X261" i="19"/>
  <c r="W261" i="19"/>
  <c r="V261" i="19"/>
  <c r="U261" i="19"/>
  <c r="T261" i="19"/>
  <c r="S261" i="19"/>
  <c r="Q261" i="19"/>
  <c r="O261" i="19"/>
  <c r="M261" i="19"/>
  <c r="K261" i="19"/>
  <c r="X260" i="19"/>
  <c r="W260" i="19"/>
  <c r="V260" i="19"/>
  <c r="U260" i="19"/>
  <c r="T260" i="19"/>
  <c r="S260" i="19"/>
  <c r="Q260" i="19"/>
  <c r="O260" i="19"/>
  <c r="M260" i="19"/>
  <c r="K260" i="19"/>
  <c r="X259" i="19"/>
  <c r="W259" i="19"/>
  <c r="V259" i="19"/>
  <c r="U259" i="19"/>
  <c r="T259" i="19"/>
  <c r="S259" i="19"/>
  <c r="Q259" i="19"/>
  <c r="O259" i="19"/>
  <c r="M259" i="19"/>
  <c r="K259" i="19"/>
  <c r="X258" i="19"/>
  <c r="W258" i="19"/>
  <c r="V258" i="19"/>
  <c r="U258" i="19"/>
  <c r="T258" i="19"/>
  <c r="S258" i="19"/>
  <c r="Q258" i="19"/>
  <c r="O258" i="19"/>
  <c r="M258" i="19"/>
  <c r="K258" i="19"/>
  <c r="X257" i="19"/>
  <c r="W257" i="19"/>
  <c r="V257" i="19"/>
  <c r="U257" i="19"/>
  <c r="T257" i="19"/>
  <c r="S257" i="19"/>
  <c r="Q257" i="19"/>
  <c r="O257" i="19"/>
  <c r="M257" i="19"/>
  <c r="K257" i="19"/>
  <c r="X256" i="19"/>
  <c r="W256" i="19"/>
  <c r="V256" i="19"/>
  <c r="U256" i="19"/>
  <c r="T256" i="19"/>
  <c r="S256" i="19"/>
  <c r="Q256" i="19"/>
  <c r="O256" i="19"/>
  <c r="M256" i="19"/>
  <c r="K256" i="19"/>
  <c r="X255" i="19"/>
  <c r="W255" i="19"/>
  <c r="V255" i="19"/>
  <c r="U255" i="19"/>
  <c r="T255" i="19"/>
  <c r="S255" i="19"/>
  <c r="Q255" i="19"/>
  <c r="O255" i="19"/>
  <c r="M255" i="19"/>
  <c r="K255" i="19"/>
  <c r="X254" i="19"/>
  <c r="W254" i="19"/>
  <c r="V254" i="19"/>
  <c r="U254" i="19"/>
  <c r="T254" i="19"/>
  <c r="S254" i="19"/>
  <c r="Q254" i="19"/>
  <c r="O254" i="19"/>
  <c r="M254" i="19"/>
  <c r="K254" i="19"/>
  <c r="X253" i="19"/>
  <c r="W253" i="19"/>
  <c r="V253" i="19"/>
  <c r="U253" i="19"/>
  <c r="T253" i="19"/>
  <c r="S253" i="19"/>
  <c r="Q253" i="19"/>
  <c r="O253" i="19"/>
  <c r="M253" i="19"/>
  <c r="K253" i="19"/>
  <c r="X252" i="19"/>
  <c r="W252" i="19"/>
  <c r="V252" i="19"/>
  <c r="U252" i="19"/>
  <c r="T252" i="19"/>
  <c r="S252" i="19"/>
  <c r="Q252" i="19"/>
  <c r="O252" i="19"/>
  <c r="M252" i="19"/>
  <c r="K252" i="19"/>
  <c r="X251" i="19"/>
  <c r="W251" i="19"/>
  <c r="V251" i="19"/>
  <c r="U251" i="19"/>
  <c r="T251" i="19"/>
  <c r="S251" i="19"/>
  <c r="Q251" i="19"/>
  <c r="O251" i="19"/>
  <c r="M251" i="19"/>
  <c r="K251" i="19"/>
  <c r="X250" i="19"/>
  <c r="W250" i="19"/>
  <c r="V250" i="19"/>
  <c r="U250" i="19"/>
  <c r="T250" i="19"/>
  <c r="S250" i="19"/>
  <c r="Q250" i="19"/>
  <c r="O250" i="19"/>
  <c r="M250" i="19"/>
  <c r="K250" i="19"/>
  <c r="X249" i="19"/>
  <c r="W249" i="19"/>
  <c r="V249" i="19"/>
  <c r="U249" i="19"/>
  <c r="T249" i="19"/>
  <c r="S249" i="19"/>
  <c r="Q249" i="19"/>
  <c r="O249" i="19"/>
  <c r="M249" i="19"/>
  <c r="K249" i="19"/>
  <c r="X248" i="19"/>
  <c r="W248" i="19"/>
  <c r="V248" i="19"/>
  <c r="U248" i="19"/>
  <c r="T248" i="19"/>
  <c r="S248" i="19"/>
  <c r="Q248" i="19"/>
  <c r="O248" i="19"/>
  <c r="M248" i="19"/>
  <c r="K248" i="19"/>
  <c r="X247" i="19"/>
  <c r="W247" i="19"/>
  <c r="V247" i="19"/>
  <c r="U247" i="19"/>
  <c r="T247" i="19"/>
  <c r="S247" i="19"/>
  <c r="Q247" i="19"/>
  <c r="O247" i="19"/>
  <c r="M247" i="19"/>
  <c r="K247" i="19"/>
  <c r="X246" i="19"/>
  <c r="W246" i="19"/>
  <c r="V246" i="19"/>
  <c r="U246" i="19"/>
  <c r="T246" i="19"/>
  <c r="S246" i="19"/>
  <c r="Q246" i="19"/>
  <c r="O246" i="19"/>
  <c r="M246" i="19"/>
  <c r="K246" i="19"/>
  <c r="X245" i="19"/>
  <c r="W245" i="19"/>
  <c r="V245" i="19"/>
  <c r="U245" i="19"/>
  <c r="T245" i="19"/>
  <c r="S245" i="19"/>
  <c r="Q245" i="19"/>
  <c r="O245" i="19"/>
  <c r="M245" i="19"/>
  <c r="K245" i="19"/>
  <c r="X244" i="19"/>
  <c r="W244" i="19"/>
  <c r="V244" i="19"/>
  <c r="U244" i="19"/>
  <c r="T244" i="19"/>
  <c r="S244" i="19"/>
  <c r="Q244" i="19"/>
  <c r="O244" i="19"/>
  <c r="M244" i="19"/>
  <c r="K244" i="19"/>
  <c r="X243" i="19"/>
  <c r="W243" i="19"/>
  <c r="V243" i="19"/>
  <c r="U243" i="19"/>
  <c r="T243" i="19"/>
  <c r="S243" i="19"/>
  <c r="Q243" i="19"/>
  <c r="O243" i="19"/>
  <c r="M243" i="19"/>
  <c r="K243" i="19"/>
  <c r="X242" i="19"/>
  <c r="W242" i="19"/>
  <c r="V242" i="19"/>
  <c r="U242" i="19"/>
  <c r="T242" i="19"/>
  <c r="S242" i="19"/>
  <c r="Q242" i="19"/>
  <c r="O242" i="19"/>
  <c r="M242" i="19"/>
  <c r="K242" i="19"/>
  <c r="X241" i="19"/>
  <c r="W241" i="19"/>
  <c r="V241" i="19"/>
  <c r="U241" i="19"/>
  <c r="T241" i="19"/>
  <c r="S241" i="19"/>
  <c r="Q241" i="19"/>
  <c r="O241" i="19"/>
  <c r="M241" i="19"/>
  <c r="K241" i="19"/>
  <c r="X240" i="19"/>
  <c r="W240" i="19"/>
  <c r="V240" i="19"/>
  <c r="U240" i="19"/>
  <c r="T240" i="19"/>
  <c r="S240" i="19"/>
  <c r="Q240" i="19"/>
  <c r="O240" i="19"/>
  <c r="M240" i="19"/>
  <c r="K240" i="19"/>
  <c r="X239" i="19"/>
  <c r="W239" i="19"/>
  <c r="V239" i="19"/>
  <c r="U239" i="19"/>
  <c r="T239" i="19"/>
  <c r="S239" i="19"/>
  <c r="Q239" i="19"/>
  <c r="O239" i="19"/>
  <c r="M239" i="19"/>
  <c r="K239" i="19"/>
  <c r="X238" i="19"/>
  <c r="W238" i="19"/>
  <c r="V238" i="19"/>
  <c r="U238" i="19"/>
  <c r="T238" i="19"/>
  <c r="S238" i="19"/>
  <c r="Q238" i="19"/>
  <c r="O238" i="19"/>
  <c r="M238" i="19"/>
  <c r="K238" i="19"/>
  <c r="X237" i="19"/>
  <c r="W237" i="19"/>
  <c r="V237" i="19"/>
  <c r="U237" i="19"/>
  <c r="T237" i="19"/>
  <c r="S237" i="19"/>
  <c r="Q237" i="19"/>
  <c r="O237" i="19"/>
  <c r="M237" i="19"/>
  <c r="K237" i="19"/>
  <c r="X236" i="19"/>
  <c r="W236" i="19"/>
  <c r="V236" i="19"/>
  <c r="U236" i="19"/>
  <c r="T236" i="19"/>
  <c r="S236" i="19"/>
  <c r="Q236" i="19"/>
  <c r="O236" i="19"/>
  <c r="M236" i="19"/>
  <c r="K236" i="19"/>
  <c r="X235" i="19"/>
  <c r="W235" i="19"/>
  <c r="V235" i="19"/>
  <c r="U235" i="19"/>
  <c r="T235" i="19"/>
  <c r="S235" i="19"/>
  <c r="Q235" i="19"/>
  <c r="O235" i="19"/>
  <c r="M235" i="19"/>
  <c r="K235" i="19"/>
  <c r="X234" i="19"/>
  <c r="W234" i="19"/>
  <c r="V234" i="19"/>
  <c r="U234" i="19"/>
  <c r="T234" i="19"/>
  <c r="S234" i="19"/>
  <c r="Q234" i="19"/>
  <c r="O234" i="19"/>
  <c r="M234" i="19"/>
  <c r="K234" i="19"/>
  <c r="X233" i="19"/>
  <c r="W233" i="19"/>
  <c r="V233" i="19"/>
  <c r="U233" i="19"/>
  <c r="T233" i="19"/>
  <c r="S233" i="19"/>
  <c r="Q233" i="19"/>
  <c r="O233" i="19"/>
  <c r="M233" i="19"/>
  <c r="K233" i="19"/>
  <c r="X232" i="19"/>
  <c r="W232" i="19"/>
  <c r="V232" i="19"/>
  <c r="U232" i="19"/>
  <c r="T232" i="19"/>
  <c r="S232" i="19"/>
  <c r="Q232" i="19"/>
  <c r="O232" i="19"/>
  <c r="M232" i="19"/>
  <c r="K232" i="19"/>
  <c r="X231" i="19"/>
  <c r="W231" i="19"/>
  <c r="V231" i="19"/>
  <c r="U231" i="19"/>
  <c r="T231" i="19"/>
  <c r="S231" i="19"/>
  <c r="Q231" i="19"/>
  <c r="O231" i="19"/>
  <c r="M231" i="19"/>
  <c r="K231" i="19"/>
  <c r="X230" i="19"/>
  <c r="W230" i="19"/>
  <c r="V230" i="19"/>
  <c r="U230" i="19"/>
  <c r="T230" i="19"/>
  <c r="S230" i="19"/>
  <c r="Q230" i="19"/>
  <c r="O230" i="19"/>
  <c r="M230" i="19"/>
  <c r="K230" i="19"/>
  <c r="X229" i="19"/>
  <c r="W229" i="19"/>
  <c r="V229" i="19"/>
  <c r="U229" i="19"/>
  <c r="T229" i="19"/>
  <c r="S229" i="19"/>
  <c r="Q229" i="19"/>
  <c r="O229" i="19"/>
  <c r="M229" i="19"/>
  <c r="K229" i="19"/>
  <c r="X228" i="19"/>
  <c r="W228" i="19"/>
  <c r="V228" i="19"/>
  <c r="U228" i="19"/>
  <c r="T228" i="19"/>
  <c r="S228" i="19"/>
  <c r="Q228" i="19"/>
  <c r="O228" i="19"/>
  <c r="M228" i="19"/>
  <c r="K228" i="19"/>
  <c r="X227" i="19"/>
  <c r="W227" i="19"/>
  <c r="V227" i="19"/>
  <c r="U227" i="19"/>
  <c r="T227" i="19"/>
  <c r="S227" i="19"/>
  <c r="Q227" i="19"/>
  <c r="O227" i="19"/>
  <c r="M227" i="19"/>
  <c r="K227" i="19"/>
  <c r="X226" i="19"/>
  <c r="W226" i="19"/>
  <c r="V226" i="19"/>
  <c r="U226" i="19"/>
  <c r="T226" i="19"/>
  <c r="S226" i="19"/>
  <c r="Q226" i="19"/>
  <c r="O226" i="19"/>
  <c r="M226" i="19"/>
  <c r="K226" i="19"/>
  <c r="X225" i="19"/>
  <c r="W225" i="19"/>
  <c r="V225" i="19"/>
  <c r="U225" i="19"/>
  <c r="T225" i="19"/>
  <c r="S225" i="19"/>
  <c r="Q225" i="19"/>
  <c r="O225" i="19"/>
  <c r="M225" i="19"/>
  <c r="K225" i="19"/>
  <c r="X224" i="19"/>
  <c r="W224" i="19"/>
  <c r="V224" i="19"/>
  <c r="U224" i="19"/>
  <c r="T224" i="19"/>
  <c r="S224" i="19"/>
  <c r="Q224" i="19"/>
  <c r="O224" i="19"/>
  <c r="M224" i="19"/>
  <c r="K224" i="19"/>
  <c r="X223" i="19"/>
  <c r="W223" i="19"/>
  <c r="V223" i="19"/>
  <c r="U223" i="19"/>
  <c r="T223" i="19"/>
  <c r="S223" i="19"/>
  <c r="Q223" i="19"/>
  <c r="O223" i="19"/>
  <c r="M223" i="19"/>
  <c r="K223" i="19"/>
  <c r="X222" i="19"/>
  <c r="W222" i="19"/>
  <c r="V222" i="19"/>
  <c r="U222" i="19"/>
  <c r="T222" i="19"/>
  <c r="S222" i="19"/>
  <c r="Q222" i="19"/>
  <c r="O222" i="19"/>
  <c r="M222" i="19"/>
  <c r="K222" i="19"/>
  <c r="X221" i="19"/>
  <c r="W221" i="19"/>
  <c r="V221" i="19"/>
  <c r="U221" i="19"/>
  <c r="T221" i="19"/>
  <c r="S221" i="19"/>
  <c r="Q221" i="19"/>
  <c r="O221" i="19"/>
  <c r="M221" i="19"/>
  <c r="K221" i="19"/>
  <c r="X220" i="19"/>
  <c r="W220" i="19"/>
  <c r="V220" i="19"/>
  <c r="U220" i="19"/>
  <c r="T220" i="19"/>
  <c r="S220" i="19"/>
  <c r="Q220" i="19"/>
  <c r="O220" i="19"/>
  <c r="M220" i="19"/>
  <c r="K220" i="19"/>
  <c r="X219" i="19"/>
  <c r="W219" i="19"/>
  <c r="V219" i="19"/>
  <c r="U219" i="19"/>
  <c r="T219" i="19"/>
  <c r="S219" i="19"/>
  <c r="Q219" i="19"/>
  <c r="O219" i="19"/>
  <c r="M219" i="19"/>
  <c r="K219" i="19"/>
  <c r="X218" i="19"/>
  <c r="W218" i="19"/>
  <c r="V218" i="19"/>
  <c r="U218" i="19"/>
  <c r="T218" i="19"/>
  <c r="S218" i="19"/>
  <c r="Q218" i="19"/>
  <c r="O218" i="19"/>
  <c r="M218" i="19"/>
  <c r="K218" i="19"/>
  <c r="X217" i="19"/>
  <c r="W217" i="19"/>
  <c r="V217" i="19"/>
  <c r="U217" i="19"/>
  <c r="T217" i="19"/>
  <c r="S217" i="19"/>
  <c r="Q217" i="19"/>
  <c r="O217" i="19"/>
  <c r="M217" i="19"/>
  <c r="K217" i="19"/>
  <c r="X216" i="19"/>
  <c r="W216" i="19"/>
  <c r="V216" i="19"/>
  <c r="U216" i="19"/>
  <c r="T216" i="19"/>
  <c r="S216" i="19"/>
  <c r="Q216" i="19"/>
  <c r="O216" i="19"/>
  <c r="M216" i="19"/>
  <c r="K216" i="19"/>
  <c r="X215" i="19"/>
  <c r="W215" i="19"/>
  <c r="V215" i="19"/>
  <c r="U215" i="19"/>
  <c r="T215" i="19"/>
  <c r="S215" i="19"/>
  <c r="Q215" i="19"/>
  <c r="O215" i="19"/>
  <c r="M215" i="19"/>
  <c r="K215" i="19"/>
  <c r="X214" i="19"/>
  <c r="W214" i="19"/>
  <c r="V214" i="19"/>
  <c r="U214" i="19"/>
  <c r="T214" i="19"/>
  <c r="S214" i="19"/>
  <c r="Q214" i="19"/>
  <c r="O214" i="19"/>
  <c r="M214" i="19"/>
  <c r="K214" i="19"/>
  <c r="X213" i="19"/>
  <c r="W213" i="19"/>
  <c r="V213" i="19"/>
  <c r="U213" i="19"/>
  <c r="T213" i="19"/>
  <c r="S213" i="19"/>
  <c r="Q213" i="19"/>
  <c r="O213" i="19"/>
  <c r="M213" i="19"/>
  <c r="K213" i="19"/>
  <c r="X212" i="19"/>
  <c r="W212" i="19"/>
  <c r="V212" i="19"/>
  <c r="U212" i="19"/>
  <c r="T212" i="19"/>
  <c r="S212" i="19"/>
  <c r="Q212" i="19"/>
  <c r="O212" i="19"/>
  <c r="M212" i="19"/>
  <c r="K212" i="19"/>
  <c r="X211" i="19"/>
  <c r="W211" i="19"/>
  <c r="V211" i="19"/>
  <c r="U211" i="19"/>
  <c r="T211" i="19"/>
  <c r="S211" i="19"/>
  <c r="Q211" i="19"/>
  <c r="O211" i="19"/>
  <c r="M211" i="19"/>
  <c r="K211" i="19"/>
  <c r="X210" i="19"/>
  <c r="W210" i="19"/>
  <c r="V210" i="19"/>
  <c r="U210" i="19"/>
  <c r="T210" i="19"/>
  <c r="S210" i="19"/>
  <c r="Q210" i="19"/>
  <c r="O210" i="19"/>
  <c r="M210" i="19"/>
  <c r="K210" i="19"/>
  <c r="X209" i="19"/>
  <c r="W209" i="19"/>
  <c r="V209" i="19"/>
  <c r="U209" i="19"/>
  <c r="T209" i="19"/>
  <c r="S209" i="19"/>
  <c r="Q209" i="19"/>
  <c r="O209" i="19"/>
  <c r="M209" i="19"/>
  <c r="K209" i="19"/>
  <c r="X208" i="19"/>
  <c r="W208" i="19"/>
  <c r="V208" i="19"/>
  <c r="U208" i="19"/>
  <c r="T208" i="19"/>
  <c r="S208" i="19"/>
  <c r="Q208" i="19"/>
  <c r="O208" i="19"/>
  <c r="M208" i="19"/>
  <c r="K208" i="19"/>
  <c r="X207" i="19"/>
  <c r="W207" i="19"/>
  <c r="V207" i="19"/>
  <c r="U207" i="19"/>
  <c r="T207" i="19"/>
  <c r="S207" i="19"/>
  <c r="Q207" i="19"/>
  <c r="O207" i="19"/>
  <c r="M207" i="19"/>
  <c r="K207" i="19"/>
  <c r="X206" i="19"/>
  <c r="W206" i="19"/>
  <c r="V206" i="19"/>
  <c r="U206" i="19"/>
  <c r="T206" i="19"/>
  <c r="S206" i="19"/>
  <c r="Q206" i="19"/>
  <c r="O206" i="19"/>
  <c r="M206" i="19"/>
  <c r="K206" i="19"/>
  <c r="X205" i="19"/>
  <c r="W205" i="19"/>
  <c r="V205" i="19"/>
  <c r="U205" i="19"/>
  <c r="T205" i="19"/>
  <c r="S205" i="19"/>
  <c r="Q205" i="19"/>
  <c r="O205" i="19"/>
  <c r="M205" i="19"/>
  <c r="K205" i="19"/>
  <c r="X204" i="19"/>
  <c r="W204" i="19"/>
  <c r="V204" i="19"/>
  <c r="U204" i="19"/>
  <c r="T204" i="19"/>
  <c r="S204" i="19"/>
  <c r="Q204" i="19"/>
  <c r="O204" i="19"/>
  <c r="M204" i="19"/>
  <c r="K204" i="19"/>
  <c r="X203" i="19"/>
  <c r="W203" i="19"/>
  <c r="V203" i="19"/>
  <c r="U203" i="19"/>
  <c r="T203" i="19"/>
  <c r="S203" i="19"/>
  <c r="Q203" i="19"/>
  <c r="O203" i="19"/>
  <c r="M203" i="19"/>
  <c r="K203" i="19"/>
  <c r="X202" i="19"/>
  <c r="W202" i="19"/>
  <c r="V202" i="19"/>
  <c r="U202" i="19"/>
  <c r="T202" i="19"/>
  <c r="S202" i="19"/>
  <c r="Q202" i="19"/>
  <c r="O202" i="19"/>
  <c r="M202" i="19"/>
  <c r="K202" i="19"/>
  <c r="X201" i="19"/>
  <c r="W201" i="19"/>
  <c r="V201" i="19"/>
  <c r="U201" i="19"/>
  <c r="T201" i="19"/>
  <c r="S201" i="19"/>
  <c r="Q201" i="19"/>
  <c r="O201" i="19"/>
  <c r="M201" i="19"/>
  <c r="K201" i="19"/>
  <c r="X200" i="19"/>
  <c r="W200" i="19"/>
  <c r="V200" i="19"/>
  <c r="U200" i="19"/>
  <c r="T200" i="19"/>
  <c r="S200" i="19"/>
  <c r="Q200" i="19"/>
  <c r="O200" i="19"/>
  <c r="M200" i="19"/>
  <c r="K200" i="19"/>
  <c r="X199" i="19"/>
  <c r="W199" i="19"/>
  <c r="V199" i="19"/>
  <c r="U199" i="19"/>
  <c r="T199" i="19"/>
  <c r="S199" i="19"/>
  <c r="Q199" i="19"/>
  <c r="O199" i="19"/>
  <c r="M199" i="19"/>
  <c r="K199" i="19"/>
  <c r="X198" i="19"/>
  <c r="W198" i="19"/>
  <c r="V198" i="19"/>
  <c r="U198" i="19"/>
  <c r="T198" i="19"/>
  <c r="S198" i="19"/>
  <c r="Q198" i="19"/>
  <c r="O198" i="19"/>
  <c r="M198" i="19"/>
  <c r="K198" i="19"/>
  <c r="X197" i="19"/>
  <c r="W197" i="19"/>
  <c r="V197" i="19"/>
  <c r="U197" i="19"/>
  <c r="T197" i="19"/>
  <c r="S197" i="19"/>
  <c r="Q197" i="19"/>
  <c r="O197" i="19"/>
  <c r="M197" i="19"/>
  <c r="K197" i="19"/>
  <c r="X196" i="19"/>
  <c r="W196" i="19"/>
  <c r="V196" i="19"/>
  <c r="U196" i="19"/>
  <c r="T196" i="19"/>
  <c r="S196" i="19"/>
  <c r="Q196" i="19"/>
  <c r="O196" i="19"/>
  <c r="M196" i="19"/>
  <c r="K196" i="19"/>
  <c r="X195" i="19"/>
  <c r="W195" i="19"/>
  <c r="V195" i="19"/>
  <c r="U195" i="19"/>
  <c r="T195" i="19"/>
  <c r="S195" i="19"/>
  <c r="Q195" i="19"/>
  <c r="O195" i="19"/>
  <c r="M195" i="19"/>
  <c r="K195" i="19"/>
  <c r="X194" i="19"/>
  <c r="W194" i="19"/>
  <c r="V194" i="19"/>
  <c r="U194" i="19"/>
  <c r="T194" i="19"/>
  <c r="S194" i="19"/>
  <c r="Q194" i="19"/>
  <c r="O194" i="19"/>
  <c r="M194" i="19"/>
  <c r="K194" i="19"/>
  <c r="X193" i="19"/>
  <c r="W193" i="19"/>
  <c r="V193" i="19"/>
  <c r="U193" i="19"/>
  <c r="T193" i="19"/>
  <c r="S193" i="19"/>
  <c r="Q193" i="19"/>
  <c r="O193" i="19"/>
  <c r="M193" i="19"/>
  <c r="K193" i="19"/>
  <c r="X192" i="19"/>
  <c r="W192" i="19"/>
  <c r="V192" i="19"/>
  <c r="U192" i="19"/>
  <c r="T192" i="19"/>
  <c r="S192" i="19"/>
  <c r="Q192" i="19"/>
  <c r="O192" i="19"/>
  <c r="M192" i="19"/>
  <c r="K192" i="19"/>
  <c r="X191" i="19"/>
  <c r="W191" i="19"/>
  <c r="V191" i="19"/>
  <c r="U191" i="19"/>
  <c r="T191" i="19"/>
  <c r="S191" i="19"/>
  <c r="Q191" i="19"/>
  <c r="O191" i="19"/>
  <c r="M191" i="19"/>
  <c r="K191" i="19"/>
  <c r="X190" i="19"/>
  <c r="W190" i="19"/>
  <c r="V190" i="19"/>
  <c r="U190" i="19"/>
  <c r="T190" i="19"/>
  <c r="S190" i="19"/>
  <c r="Q190" i="19"/>
  <c r="O190" i="19"/>
  <c r="M190" i="19"/>
  <c r="K190" i="19"/>
  <c r="X189" i="19"/>
  <c r="W189" i="19"/>
  <c r="V189" i="19"/>
  <c r="U189" i="19"/>
  <c r="T189" i="19"/>
  <c r="S189" i="19"/>
  <c r="Q189" i="19"/>
  <c r="O189" i="19"/>
  <c r="M189" i="19"/>
  <c r="K189" i="19"/>
  <c r="X188" i="19"/>
  <c r="W188" i="19"/>
  <c r="V188" i="19"/>
  <c r="U188" i="19"/>
  <c r="T188" i="19"/>
  <c r="S188" i="19"/>
  <c r="Q188" i="19"/>
  <c r="O188" i="19"/>
  <c r="M188" i="19"/>
  <c r="K188" i="19"/>
  <c r="X187" i="19"/>
  <c r="W187" i="19"/>
  <c r="V187" i="19"/>
  <c r="U187" i="19"/>
  <c r="T187" i="19"/>
  <c r="S187" i="19"/>
  <c r="Q187" i="19"/>
  <c r="O187" i="19"/>
  <c r="M187" i="19"/>
  <c r="K187" i="19"/>
  <c r="X186" i="19"/>
  <c r="W186" i="19"/>
  <c r="V186" i="19"/>
  <c r="U186" i="19"/>
  <c r="T186" i="19"/>
  <c r="S186" i="19"/>
  <c r="Q186" i="19"/>
  <c r="O186" i="19"/>
  <c r="M186" i="19"/>
  <c r="K186" i="19"/>
  <c r="X185" i="19"/>
  <c r="W185" i="19"/>
  <c r="V185" i="19"/>
  <c r="U185" i="19"/>
  <c r="T185" i="19"/>
  <c r="S185" i="19"/>
  <c r="Q185" i="19"/>
  <c r="O185" i="19"/>
  <c r="M185" i="19"/>
  <c r="K185" i="19"/>
  <c r="X184" i="19"/>
  <c r="W184" i="19"/>
  <c r="V184" i="19"/>
  <c r="U184" i="19"/>
  <c r="T184" i="19"/>
  <c r="S184" i="19"/>
  <c r="Q184" i="19"/>
  <c r="O184" i="19"/>
  <c r="M184" i="19"/>
  <c r="K184" i="19"/>
  <c r="X183" i="19"/>
  <c r="W183" i="19"/>
  <c r="V183" i="19"/>
  <c r="U183" i="19"/>
  <c r="T183" i="19"/>
  <c r="S183" i="19"/>
  <c r="Q183" i="19"/>
  <c r="O183" i="19"/>
  <c r="M183" i="19"/>
  <c r="K183" i="19"/>
  <c r="X182" i="19"/>
  <c r="W182" i="19"/>
  <c r="V182" i="19"/>
  <c r="U182" i="19"/>
  <c r="T182" i="19"/>
  <c r="S182" i="19"/>
  <c r="Q182" i="19"/>
  <c r="O182" i="19"/>
  <c r="M182" i="19"/>
  <c r="K182" i="19"/>
  <c r="X181" i="19"/>
  <c r="W181" i="19"/>
  <c r="V181" i="19"/>
  <c r="U181" i="19"/>
  <c r="T181" i="19"/>
  <c r="S181" i="19"/>
  <c r="Q181" i="19"/>
  <c r="O181" i="19"/>
  <c r="M181" i="19"/>
  <c r="K181" i="19"/>
  <c r="X180" i="19"/>
  <c r="W180" i="19"/>
  <c r="V180" i="19"/>
  <c r="U180" i="19"/>
  <c r="T180" i="19"/>
  <c r="S180" i="19"/>
  <c r="Q180" i="19"/>
  <c r="O180" i="19"/>
  <c r="M180" i="19"/>
  <c r="K180" i="19"/>
  <c r="X179" i="19"/>
  <c r="W179" i="19"/>
  <c r="V179" i="19"/>
  <c r="U179" i="19"/>
  <c r="T179" i="19"/>
  <c r="S179" i="19"/>
  <c r="Q179" i="19"/>
  <c r="O179" i="19"/>
  <c r="M179" i="19"/>
  <c r="K179" i="19"/>
  <c r="X178" i="19"/>
  <c r="W178" i="19"/>
  <c r="V178" i="19"/>
  <c r="U178" i="19"/>
  <c r="T178" i="19"/>
  <c r="S178" i="19"/>
  <c r="Q178" i="19"/>
  <c r="O178" i="19"/>
  <c r="M178" i="19"/>
  <c r="K178" i="19"/>
  <c r="X177" i="19"/>
  <c r="W177" i="19"/>
  <c r="V177" i="19"/>
  <c r="U177" i="19"/>
  <c r="T177" i="19"/>
  <c r="S177" i="19"/>
  <c r="Q177" i="19"/>
  <c r="O177" i="19"/>
  <c r="M177" i="19"/>
  <c r="K177" i="19"/>
  <c r="X176" i="19"/>
  <c r="W176" i="19"/>
  <c r="V176" i="19"/>
  <c r="U176" i="19"/>
  <c r="T176" i="19"/>
  <c r="S176" i="19"/>
  <c r="Q176" i="19"/>
  <c r="O176" i="19"/>
  <c r="M176" i="19"/>
  <c r="K176" i="19"/>
  <c r="X175" i="19"/>
  <c r="W175" i="19"/>
  <c r="V175" i="19"/>
  <c r="U175" i="19"/>
  <c r="T175" i="19"/>
  <c r="S175" i="19"/>
  <c r="Q175" i="19"/>
  <c r="O175" i="19"/>
  <c r="M175" i="19"/>
  <c r="K175" i="19"/>
  <c r="X174" i="19"/>
  <c r="W174" i="19"/>
  <c r="V174" i="19"/>
  <c r="U174" i="19"/>
  <c r="T174" i="19"/>
  <c r="S174" i="19"/>
  <c r="Q174" i="19"/>
  <c r="O174" i="19"/>
  <c r="M174" i="19"/>
  <c r="K174" i="19"/>
  <c r="X173" i="19"/>
  <c r="W173" i="19"/>
  <c r="V173" i="19"/>
  <c r="U173" i="19"/>
  <c r="T173" i="19"/>
  <c r="S173" i="19"/>
  <c r="Q173" i="19"/>
  <c r="O173" i="19"/>
  <c r="M173" i="19"/>
  <c r="K173" i="19"/>
  <c r="X172" i="19"/>
  <c r="W172" i="19"/>
  <c r="V172" i="19"/>
  <c r="U172" i="19"/>
  <c r="T172" i="19"/>
  <c r="S172" i="19"/>
  <c r="Q172" i="19"/>
  <c r="O172" i="19"/>
  <c r="M172" i="19"/>
  <c r="K172" i="19"/>
  <c r="X171" i="19"/>
  <c r="W171" i="19"/>
  <c r="V171" i="19"/>
  <c r="U171" i="19"/>
  <c r="T171" i="19"/>
  <c r="S171" i="19"/>
  <c r="Q171" i="19"/>
  <c r="O171" i="19"/>
  <c r="M171" i="19"/>
  <c r="K171" i="19"/>
  <c r="X170" i="19"/>
  <c r="W170" i="19"/>
  <c r="V170" i="19"/>
  <c r="U170" i="19"/>
  <c r="T170" i="19"/>
  <c r="S170" i="19"/>
  <c r="Q170" i="19"/>
  <c r="O170" i="19"/>
  <c r="M170" i="19"/>
  <c r="K170" i="19"/>
  <c r="X169" i="19"/>
  <c r="W169" i="19"/>
  <c r="V169" i="19"/>
  <c r="U169" i="19"/>
  <c r="T169" i="19"/>
  <c r="S169" i="19"/>
  <c r="Q169" i="19"/>
  <c r="O169" i="19"/>
  <c r="M169" i="19"/>
  <c r="K169" i="19"/>
  <c r="X168" i="19"/>
  <c r="W168" i="19"/>
  <c r="V168" i="19"/>
  <c r="U168" i="19"/>
  <c r="T168" i="19"/>
  <c r="S168" i="19"/>
  <c r="Q168" i="19"/>
  <c r="O168" i="19"/>
  <c r="M168" i="19"/>
  <c r="K168" i="19"/>
  <c r="X167" i="19"/>
  <c r="W167" i="19"/>
  <c r="V167" i="19"/>
  <c r="U167" i="19"/>
  <c r="T167" i="19"/>
  <c r="S167" i="19"/>
  <c r="Q167" i="19"/>
  <c r="O167" i="19"/>
  <c r="M167" i="19"/>
  <c r="K167" i="19"/>
  <c r="X166" i="19"/>
  <c r="W166" i="19"/>
  <c r="V166" i="19"/>
  <c r="U166" i="19"/>
  <c r="T166" i="19"/>
  <c r="S166" i="19"/>
  <c r="Q166" i="19"/>
  <c r="O166" i="19"/>
  <c r="M166" i="19"/>
  <c r="K166" i="19"/>
  <c r="X165" i="19"/>
  <c r="W165" i="19"/>
  <c r="V165" i="19"/>
  <c r="U165" i="19"/>
  <c r="T165" i="19"/>
  <c r="S165" i="19"/>
  <c r="Q165" i="19"/>
  <c r="O165" i="19"/>
  <c r="M165" i="19"/>
  <c r="K165" i="19"/>
  <c r="X164" i="19"/>
  <c r="W164" i="19"/>
  <c r="V164" i="19"/>
  <c r="U164" i="19"/>
  <c r="T164" i="19"/>
  <c r="S164" i="19"/>
  <c r="Q164" i="19"/>
  <c r="O164" i="19"/>
  <c r="M164" i="19"/>
  <c r="K164" i="19"/>
  <c r="X163" i="19"/>
  <c r="W163" i="19"/>
  <c r="V163" i="19"/>
  <c r="U163" i="19"/>
  <c r="T163" i="19"/>
  <c r="S163" i="19"/>
  <c r="Q163" i="19"/>
  <c r="O163" i="19"/>
  <c r="M163" i="19"/>
  <c r="K163" i="19"/>
  <c r="X162" i="19"/>
  <c r="W162" i="19"/>
  <c r="V162" i="19"/>
  <c r="U162" i="19"/>
  <c r="T162" i="19"/>
  <c r="S162" i="19"/>
  <c r="Q162" i="19"/>
  <c r="O162" i="19"/>
  <c r="M162" i="19"/>
  <c r="K162" i="19"/>
  <c r="X161" i="19"/>
  <c r="W161" i="19"/>
  <c r="V161" i="19"/>
  <c r="U161" i="19"/>
  <c r="T161" i="19"/>
  <c r="S161" i="19"/>
  <c r="Q161" i="19"/>
  <c r="O161" i="19"/>
  <c r="M161" i="19"/>
  <c r="K161" i="19"/>
  <c r="X160" i="19"/>
  <c r="W160" i="19"/>
  <c r="V160" i="19"/>
  <c r="U160" i="19"/>
  <c r="T160" i="19"/>
  <c r="S160" i="19"/>
  <c r="Q160" i="19"/>
  <c r="O160" i="19"/>
  <c r="M160" i="19"/>
  <c r="K160" i="19"/>
  <c r="X159" i="19"/>
  <c r="W159" i="19"/>
  <c r="V159" i="19"/>
  <c r="U159" i="19"/>
  <c r="T159" i="19"/>
  <c r="S159" i="19"/>
  <c r="Q159" i="19"/>
  <c r="O159" i="19"/>
  <c r="M159" i="19"/>
  <c r="K159" i="19"/>
  <c r="X158" i="19"/>
  <c r="W158" i="19"/>
  <c r="V158" i="19"/>
  <c r="U158" i="19"/>
  <c r="T158" i="19"/>
  <c r="S158" i="19"/>
  <c r="Q158" i="19"/>
  <c r="O158" i="19"/>
  <c r="M158" i="19"/>
  <c r="K158" i="19"/>
  <c r="X157" i="19"/>
  <c r="W157" i="19"/>
  <c r="V157" i="19"/>
  <c r="U157" i="19"/>
  <c r="T157" i="19"/>
  <c r="S157" i="19"/>
  <c r="Q157" i="19"/>
  <c r="O157" i="19"/>
  <c r="M157" i="19"/>
  <c r="K157" i="19"/>
  <c r="X156" i="19"/>
  <c r="W156" i="19"/>
  <c r="V156" i="19"/>
  <c r="U156" i="19"/>
  <c r="T156" i="19"/>
  <c r="S156" i="19"/>
  <c r="Q156" i="19"/>
  <c r="O156" i="19"/>
  <c r="M156" i="19"/>
  <c r="K156" i="19"/>
  <c r="X155" i="19"/>
  <c r="W155" i="19"/>
  <c r="V155" i="19"/>
  <c r="U155" i="19"/>
  <c r="T155" i="19"/>
  <c r="S155" i="19"/>
  <c r="Q155" i="19"/>
  <c r="O155" i="19"/>
  <c r="M155" i="19"/>
  <c r="K155" i="19"/>
  <c r="X154" i="19"/>
  <c r="W154" i="19"/>
  <c r="V154" i="19"/>
  <c r="U154" i="19"/>
  <c r="T154" i="19"/>
  <c r="S154" i="19"/>
  <c r="Q154" i="19"/>
  <c r="O154" i="19"/>
  <c r="M154" i="19"/>
  <c r="K154" i="19"/>
  <c r="X153" i="19"/>
  <c r="W153" i="19"/>
  <c r="V153" i="19"/>
  <c r="U153" i="19"/>
  <c r="T153" i="19"/>
  <c r="S153" i="19"/>
  <c r="Q153" i="19"/>
  <c r="O153" i="19"/>
  <c r="M153" i="19"/>
  <c r="K153" i="19"/>
  <c r="X152" i="19"/>
  <c r="W152" i="19"/>
  <c r="V152" i="19"/>
  <c r="U152" i="19"/>
  <c r="T152" i="19"/>
  <c r="S152" i="19"/>
  <c r="Q152" i="19"/>
  <c r="O152" i="19"/>
  <c r="M152" i="19"/>
  <c r="K152" i="19"/>
  <c r="X151" i="19"/>
  <c r="W151" i="19"/>
  <c r="V151" i="19"/>
  <c r="U151" i="19"/>
  <c r="T151" i="19"/>
  <c r="S151" i="19"/>
  <c r="Q151" i="19"/>
  <c r="O151" i="19"/>
  <c r="M151" i="19"/>
  <c r="K151" i="19"/>
  <c r="X150" i="19"/>
  <c r="W150" i="19"/>
  <c r="V150" i="19"/>
  <c r="U150" i="19"/>
  <c r="T150" i="19"/>
  <c r="S150" i="19"/>
  <c r="Q150" i="19"/>
  <c r="O150" i="19"/>
  <c r="M150" i="19"/>
  <c r="K150" i="19"/>
  <c r="X149" i="19"/>
  <c r="W149" i="19"/>
  <c r="V149" i="19"/>
  <c r="U149" i="19"/>
  <c r="T149" i="19"/>
  <c r="S149" i="19"/>
  <c r="Q149" i="19"/>
  <c r="O149" i="19"/>
  <c r="M149" i="19"/>
  <c r="K149" i="19"/>
  <c r="X148" i="19"/>
  <c r="W148" i="19"/>
  <c r="V148" i="19"/>
  <c r="U148" i="19"/>
  <c r="T148" i="19"/>
  <c r="S148" i="19"/>
  <c r="Q148" i="19"/>
  <c r="O148" i="19"/>
  <c r="M148" i="19"/>
  <c r="K148" i="19"/>
  <c r="X147" i="19"/>
  <c r="W147" i="19"/>
  <c r="V147" i="19"/>
  <c r="U147" i="19"/>
  <c r="T147" i="19"/>
  <c r="S147" i="19"/>
  <c r="Q147" i="19"/>
  <c r="O147" i="19"/>
  <c r="M147" i="19"/>
  <c r="K147" i="19"/>
  <c r="X146" i="19"/>
  <c r="W146" i="19"/>
  <c r="V146" i="19"/>
  <c r="U146" i="19"/>
  <c r="T146" i="19"/>
  <c r="S146" i="19"/>
  <c r="Q146" i="19"/>
  <c r="O146" i="19"/>
  <c r="M146" i="19"/>
  <c r="K146" i="19"/>
  <c r="X145" i="19"/>
  <c r="W145" i="19"/>
  <c r="V145" i="19"/>
  <c r="U145" i="19"/>
  <c r="T145" i="19"/>
  <c r="S145" i="19"/>
  <c r="Q145" i="19"/>
  <c r="O145" i="19"/>
  <c r="M145" i="19"/>
  <c r="K145" i="19"/>
  <c r="X144" i="19"/>
  <c r="W144" i="19"/>
  <c r="V144" i="19"/>
  <c r="U144" i="19"/>
  <c r="T144" i="19"/>
  <c r="S144" i="19"/>
  <c r="Q144" i="19"/>
  <c r="O144" i="19"/>
  <c r="M144" i="19"/>
  <c r="K144" i="19"/>
  <c r="X143" i="19"/>
  <c r="W143" i="19"/>
  <c r="V143" i="19"/>
  <c r="U143" i="19"/>
  <c r="T143" i="19"/>
  <c r="S143" i="19"/>
  <c r="Q143" i="19"/>
  <c r="O143" i="19"/>
  <c r="M143" i="19"/>
  <c r="K143" i="19"/>
  <c r="X142" i="19"/>
  <c r="W142" i="19"/>
  <c r="V142" i="19"/>
  <c r="U142" i="19"/>
  <c r="T142" i="19"/>
  <c r="S142" i="19"/>
  <c r="Q142" i="19"/>
  <c r="O142" i="19"/>
  <c r="M142" i="19"/>
  <c r="K142" i="19"/>
  <c r="X141" i="19"/>
  <c r="W141" i="19"/>
  <c r="V141" i="19"/>
  <c r="U141" i="19"/>
  <c r="T141" i="19"/>
  <c r="S141" i="19"/>
  <c r="Q141" i="19"/>
  <c r="O141" i="19"/>
  <c r="M141" i="19"/>
  <c r="K141" i="19"/>
  <c r="X140" i="19"/>
  <c r="W140" i="19"/>
  <c r="V140" i="19"/>
  <c r="U140" i="19"/>
  <c r="T140" i="19"/>
  <c r="S140" i="19"/>
  <c r="Q140" i="19"/>
  <c r="O140" i="19"/>
  <c r="M140" i="19"/>
  <c r="K140" i="19"/>
  <c r="X139" i="19"/>
  <c r="W139" i="19"/>
  <c r="V139" i="19"/>
  <c r="U139" i="19"/>
  <c r="T139" i="19"/>
  <c r="S139" i="19"/>
  <c r="Q139" i="19"/>
  <c r="O139" i="19"/>
  <c r="M139" i="19"/>
  <c r="K139" i="19"/>
  <c r="X138" i="19"/>
  <c r="W138" i="19"/>
  <c r="V138" i="19"/>
  <c r="U138" i="19"/>
  <c r="T138" i="19"/>
  <c r="S138" i="19"/>
  <c r="Q138" i="19"/>
  <c r="O138" i="19"/>
  <c r="M138" i="19"/>
  <c r="K138" i="19"/>
  <c r="X137" i="19"/>
  <c r="W137" i="19"/>
  <c r="V137" i="19"/>
  <c r="U137" i="19"/>
  <c r="T137" i="19"/>
  <c r="S137" i="19"/>
  <c r="Q137" i="19"/>
  <c r="O137" i="19"/>
  <c r="M137" i="19"/>
  <c r="K137" i="19"/>
  <c r="X136" i="19"/>
  <c r="W136" i="19"/>
  <c r="V136" i="19"/>
  <c r="U136" i="19"/>
  <c r="T136" i="19"/>
  <c r="S136" i="19"/>
  <c r="Q136" i="19"/>
  <c r="O136" i="19"/>
  <c r="M136" i="19"/>
  <c r="K136" i="19"/>
  <c r="X135" i="19"/>
  <c r="W135" i="19"/>
  <c r="V135" i="19"/>
  <c r="U135" i="19"/>
  <c r="T135" i="19"/>
  <c r="S135" i="19"/>
  <c r="Q135" i="19"/>
  <c r="O135" i="19"/>
  <c r="M135" i="19"/>
  <c r="K135" i="19"/>
  <c r="X134" i="19"/>
  <c r="W134" i="19"/>
  <c r="V134" i="19"/>
  <c r="U134" i="19"/>
  <c r="T134" i="19"/>
  <c r="S134" i="19"/>
  <c r="Q134" i="19"/>
  <c r="O134" i="19"/>
  <c r="M134" i="19"/>
  <c r="K134" i="19"/>
  <c r="X133" i="19"/>
  <c r="W133" i="19"/>
  <c r="V133" i="19"/>
  <c r="U133" i="19"/>
  <c r="T133" i="19"/>
  <c r="S133" i="19"/>
  <c r="Q133" i="19"/>
  <c r="O133" i="19"/>
  <c r="M133" i="19"/>
  <c r="K133" i="19"/>
  <c r="X132" i="19"/>
  <c r="W132" i="19"/>
  <c r="V132" i="19"/>
  <c r="U132" i="19"/>
  <c r="T132" i="19"/>
  <c r="S132" i="19"/>
  <c r="Q132" i="19"/>
  <c r="O132" i="19"/>
  <c r="M132" i="19"/>
  <c r="K132" i="19"/>
  <c r="X131" i="19"/>
  <c r="W131" i="19"/>
  <c r="V131" i="19"/>
  <c r="U131" i="19"/>
  <c r="T131" i="19"/>
  <c r="S131" i="19"/>
  <c r="Q131" i="19"/>
  <c r="O131" i="19"/>
  <c r="M131" i="19"/>
  <c r="K131" i="19"/>
  <c r="X130" i="19"/>
  <c r="W130" i="19"/>
  <c r="V130" i="19"/>
  <c r="U130" i="19"/>
  <c r="T130" i="19"/>
  <c r="S130" i="19"/>
  <c r="Q130" i="19"/>
  <c r="O130" i="19"/>
  <c r="M130" i="19"/>
  <c r="K130" i="19"/>
  <c r="X129" i="19"/>
  <c r="W129" i="19"/>
  <c r="V129" i="19"/>
  <c r="U129" i="19"/>
  <c r="T129" i="19"/>
  <c r="S129" i="19"/>
  <c r="Q129" i="19"/>
  <c r="O129" i="19"/>
  <c r="M129" i="19"/>
  <c r="K129" i="19"/>
  <c r="X128" i="19"/>
  <c r="W128" i="19"/>
  <c r="V128" i="19"/>
  <c r="U128" i="19"/>
  <c r="T128" i="19"/>
  <c r="S128" i="19"/>
  <c r="Q128" i="19"/>
  <c r="O128" i="19"/>
  <c r="M128" i="19"/>
  <c r="K128" i="19"/>
  <c r="X127" i="19"/>
  <c r="W127" i="19"/>
  <c r="V127" i="19"/>
  <c r="U127" i="19"/>
  <c r="T127" i="19"/>
  <c r="S127" i="19"/>
  <c r="Q127" i="19"/>
  <c r="O127" i="19"/>
  <c r="M127" i="19"/>
  <c r="K127" i="19"/>
  <c r="X126" i="19"/>
  <c r="W126" i="19"/>
  <c r="V126" i="19"/>
  <c r="U126" i="19"/>
  <c r="T126" i="19"/>
  <c r="S126" i="19"/>
  <c r="Q126" i="19"/>
  <c r="O126" i="19"/>
  <c r="M126" i="19"/>
  <c r="K126" i="19"/>
  <c r="X125" i="19"/>
  <c r="W125" i="19"/>
  <c r="V125" i="19"/>
  <c r="U125" i="19"/>
  <c r="T125" i="19"/>
  <c r="S125" i="19"/>
  <c r="Q125" i="19"/>
  <c r="O125" i="19"/>
  <c r="M125" i="19"/>
  <c r="K125" i="19"/>
  <c r="X124" i="19"/>
  <c r="W124" i="19"/>
  <c r="V124" i="19"/>
  <c r="U124" i="19"/>
  <c r="T124" i="19"/>
  <c r="S124" i="19"/>
  <c r="Q124" i="19"/>
  <c r="O124" i="19"/>
  <c r="M124" i="19"/>
  <c r="K124" i="19"/>
  <c r="X123" i="19"/>
  <c r="W123" i="19"/>
  <c r="V123" i="19"/>
  <c r="U123" i="19"/>
  <c r="T123" i="19"/>
  <c r="S123" i="19"/>
  <c r="Q123" i="19"/>
  <c r="O123" i="19"/>
  <c r="M123" i="19"/>
  <c r="K123" i="19"/>
  <c r="X122" i="19"/>
  <c r="W122" i="19"/>
  <c r="V122" i="19"/>
  <c r="U122" i="19"/>
  <c r="T122" i="19"/>
  <c r="S122" i="19"/>
  <c r="Q122" i="19"/>
  <c r="O122" i="19"/>
  <c r="M122" i="19"/>
  <c r="K122" i="19"/>
  <c r="X121" i="19"/>
  <c r="W121" i="19"/>
  <c r="V121" i="19"/>
  <c r="U121" i="19"/>
  <c r="T121" i="19"/>
  <c r="S121" i="19"/>
  <c r="Q121" i="19"/>
  <c r="O121" i="19"/>
  <c r="M121" i="19"/>
  <c r="K121" i="19"/>
  <c r="X120" i="19"/>
  <c r="W120" i="19"/>
  <c r="V120" i="19"/>
  <c r="U120" i="19"/>
  <c r="T120" i="19"/>
  <c r="S120" i="19"/>
  <c r="Q120" i="19"/>
  <c r="O120" i="19"/>
  <c r="M120" i="19"/>
  <c r="K120" i="19"/>
  <c r="X119" i="19"/>
  <c r="W119" i="19"/>
  <c r="V119" i="19"/>
  <c r="U119" i="19"/>
  <c r="T119" i="19"/>
  <c r="S119" i="19"/>
  <c r="Q119" i="19"/>
  <c r="O119" i="19"/>
  <c r="M119" i="19"/>
  <c r="K119" i="19"/>
  <c r="X118" i="19"/>
  <c r="W118" i="19"/>
  <c r="V118" i="19"/>
  <c r="U118" i="19"/>
  <c r="T118" i="19"/>
  <c r="S118" i="19"/>
  <c r="Q118" i="19"/>
  <c r="O118" i="19"/>
  <c r="M118" i="19"/>
  <c r="K118" i="19"/>
  <c r="X117" i="19"/>
  <c r="W117" i="19"/>
  <c r="V117" i="19"/>
  <c r="U117" i="19"/>
  <c r="T117" i="19"/>
  <c r="S117" i="19"/>
  <c r="Q117" i="19"/>
  <c r="O117" i="19"/>
  <c r="M117" i="19"/>
  <c r="K117" i="19"/>
  <c r="X116" i="19"/>
  <c r="W116" i="19"/>
  <c r="V116" i="19"/>
  <c r="U116" i="19"/>
  <c r="T116" i="19"/>
  <c r="S116" i="19"/>
  <c r="Q116" i="19"/>
  <c r="O116" i="19"/>
  <c r="M116" i="19"/>
  <c r="K116" i="19"/>
  <c r="X115" i="19"/>
  <c r="W115" i="19"/>
  <c r="V115" i="19"/>
  <c r="U115" i="19"/>
  <c r="T115" i="19"/>
  <c r="S115" i="19"/>
  <c r="Q115" i="19"/>
  <c r="O115" i="19"/>
  <c r="M115" i="19"/>
  <c r="K115" i="19"/>
  <c r="X114" i="19"/>
  <c r="W114" i="19"/>
  <c r="V114" i="19"/>
  <c r="U114" i="19"/>
  <c r="T114" i="19"/>
  <c r="S114" i="19"/>
  <c r="Q114" i="19"/>
  <c r="O114" i="19"/>
  <c r="M114" i="19"/>
  <c r="K114" i="19"/>
  <c r="X113" i="19"/>
  <c r="W113" i="19"/>
  <c r="V113" i="19"/>
  <c r="U113" i="19"/>
  <c r="T113" i="19"/>
  <c r="S113" i="19"/>
  <c r="Q113" i="19"/>
  <c r="O113" i="19"/>
  <c r="M113" i="19"/>
  <c r="K113" i="19"/>
  <c r="X112" i="19"/>
  <c r="W112" i="19"/>
  <c r="V112" i="19"/>
  <c r="U112" i="19"/>
  <c r="T112" i="19"/>
  <c r="S112" i="19"/>
  <c r="Q112" i="19"/>
  <c r="O112" i="19"/>
  <c r="M112" i="19"/>
  <c r="K112" i="19"/>
  <c r="X111" i="19"/>
  <c r="W111" i="19"/>
  <c r="V111" i="19"/>
  <c r="U111" i="19"/>
  <c r="T111" i="19"/>
  <c r="S111" i="19"/>
  <c r="Q111" i="19"/>
  <c r="O111" i="19"/>
  <c r="M111" i="19"/>
  <c r="K111" i="19"/>
  <c r="X110" i="19"/>
  <c r="W110" i="19"/>
  <c r="V110" i="19"/>
  <c r="U110" i="19"/>
  <c r="T110" i="19"/>
  <c r="S110" i="19"/>
  <c r="Q110" i="19"/>
  <c r="O110" i="19"/>
  <c r="M110" i="19"/>
  <c r="K110" i="19"/>
  <c r="X109" i="19"/>
  <c r="W109" i="19"/>
  <c r="V109" i="19"/>
  <c r="U109" i="19"/>
  <c r="T109" i="19"/>
  <c r="S109" i="19"/>
  <c r="Q109" i="19"/>
  <c r="O109" i="19"/>
  <c r="M109" i="19"/>
  <c r="K109" i="19"/>
  <c r="X108" i="19"/>
  <c r="W108" i="19"/>
  <c r="V108" i="19"/>
  <c r="U108" i="19"/>
  <c r="T108" i="19"/>
  <c r="S108" i="19"/>
  <c r="Q108" i="19"/>
  <c r="O108" i="19"/>
  <c r="M108" i="19"/>
  <c r="K108" i="19"/>
  <c r="X107" i="19"/>
  <c r="W107" i="19"/>
  <c r="V107" i="19"/>
  <c r="U107" i="19"/>
  <c r="T107" i="19"/>
  <c r="S107" i="19"/>
  <c r="Q107" i="19"/>
  <c r="O107" i="19"/>
  <c r="M107" i="19"/>
  <c r="K107" i="19"/>
  <c r="X106" i="19"/>
  <c r="W106" i="19"/>
  <c r="V106" i="19"/>
  <c r="U106" i="19"/>
  <c r="T106" i="19"/>
  <c r="S106" i="19"/>
  <c r="Q106" i="19"/>
  <c r="O106" i="19"/>
  <c r="M106" i="19"/>
  <c r="K106" i="19"/>
  <c r="X105" i="19"/>
  <c r="W105" i="19"/>
  <c r="V105" i="19"/>
  <c r="U105" i="19"/>
  <c r="T105" i="19"/>
  <c r="S105" i="19"/>
  <c r="Q105" i="19"/>
  <c r="O105" i="19"/>
  <c r="M105" i="19"/>
  <c r="K105" i="19"/>
  <c r="X104" i="19"/>
  <c r="W104" i="19"/>
  <c r="V104" i="19"/>
  <c r="U104" i="19"/>
  <c r="T104" i="19"/>
  <c r="S104" i="19"/>
  <c r="Q104" i="19"/>
  <c r="O104" i="19"/>
  <c r="M104" i="19"/>
  <c r="K104" i="19"/>
  <c r="X103" i="19"/>
  <c r="W103" i="19"/>
  <c r="V103" i="19"/>
  <c r="U103" i="19"/>
  <c r="T103" i="19"/>
  <c r="S103" i="19"/>
  <c r="Q103" i="19"/>
  <c r="O103" i="19"/>
  <c r="M103" i="19"/>
  <c r="K103" i="19"/>
  <c r="X102" i="19"/>
  <c r="W102" i="19"/>
  <c r="V102" i="19"/>
  <c r="U102" i="19"/>
  <c r="T102" i="19"/>
  <c r="S102" i="19"/>
  <c r="Q102" i="19"/>
  <c r="O102" i="19"/>
  <c r="M102" i="19"/>
  <c r="K102" i="19"/>
  <c r="X101" i="19"/>
  <c r="W101" i="19"/>
  <c r="V101" i="19"/>
  <c r="U101" i="19"/>
  <c r="T101" i="19"/>
  <c r="S101" i="19"/>
  <c r="Q101" i="19"/>
  <c r="O101" i="19"/>
  <c r="M101" i="19"/>
  <c r="K101" i="19"/>
  <c r="X100" i="19"/>
  <c r="W100" i="19"/>
  <c r="V100" i="19"/>
  <c r="U100" i="19"/>
  <c r="T100" i="19"/>
  <c r="S100" i="19"/>
  <c r="Q100" i="19"/>
  <c r="O100" i="19"/>
  <c r="M100" i="19"/>
  <c r="K100" i="19"/>
  <c r="X99" i="19"/>
  <c r="W99" i="19"/>
  <c r="V99" i="19"/>
  <c r="U99" i="19"/>
  <c r="T99" i="19"/>
  <c r="S99" i="19"/>
  <c r="Q99" i="19"/>
  <c r="O99" i="19"/>
  <c r="M99" i="19"/>
  <c r="K99" i="19"/>
  <c r="X98" i="19"/>
  <c r="W98" i="19"/>
  <c r="V98" i="19"/>
  <c r="U98" i="19"/>
  <c r="T98" i="19"/>
  <c r="S98" i="19"/>
  <c r="Q98" i="19"/>
  <c r="O98" i="19"/>
  <c r="M98" i="19"/>
  <c r="K98" i="19"/>
  <c r="X97" i="19"/>
  <c r="W97" i="19"/>
  <c r="V97" i="19"/>
  <c r="U97" i="19"/>
  <c r="T97" i="19"/>
  <c r="S97" i="19"/>
  <c r="Q97" i="19"/>
  <c r="O97" i="19"/>
  <c r="M97" i="19"/>
  <c r="K97" i="19"/>
  <c r="X96" i="19"/>
  <c r="W96" i="19"/>
  <c r="V96" i="19"/>
  <c r="U96" i="19"/>
  <c r="T96" i="19"/>
  <c r="S96" i="19"/>
  <c r="Q96" i="19"/>
  <c r="O96" i="19"/>
  <c r="M96" i="19"/>
  <c r="K96" i="19"/>
  <c r="X95" i="19"/>
  <c r="W95" i="19"/>
  <c r="V95" i="19"/>
  <c r="U95" i="19"/>
  <c r="T95" i="19"/>
  <c r="S95" i="19"/>
  <c r="Q95" i="19"/>
  <c r="O95" i="19"/>
  <c r="M95" i="19"/>
  <c r="K95" i="19"/>
  <c r="X94" i="19"/>
  <c r="W94" i="19"/>
  <c r="V94" i="19"/>
  <c r="U94" i="19"/>
  <c r="T94" i="19"/>
  <c r="S94" i="19"/>
  <c r="Q94" i="19"/>
  <c r="O94" i="19"/>
  <c r="M94" i="19"/>
  <c r="K94" i="19"/>
  <c r="X93" i="19"/>
  <c r="W93" i="19"/>
  <c r="V93" i="19"/>
  <c r="U93" i="19"/>
  <c r="T93" i="19"/>
  <c r="S93" i="19"/>
  <c r="Q93" i="19"/>
  <c r="O93" i="19"/>
  <c r="M93" i="19"/>
  <c r="K93" i="19"/>
  <c r="X92" i="19"/>
  <c r="W92" i="19"/>
  <c r="V92" i="19"/>
  <c r="U92" i="19"/>
  <c r="T92" i="19"/>
  <c r="S92" i="19"/>
  <c r="Q92" i="19"/>
  <c r="O92" i="19"/>
  <c r="M92" i="19"/>
  <c r="K92" i="19"/>
  <c r="X91" i="19"/>
  <c r="W91" i="19"/>
  <c r="V91" i="19"/>
  <c r="U91" i="19"/>
  <c r="T91" i="19"/>
  <c r="S91" i="19"/>
  <c r="Q91" i="19"/>
  <c r="O91" i="19"/>
  <c r="M91" i="19"/>
  <c r="K91" i="19"/>
  <c r="X90" i="19"/>
  <c r="W90" i="19"/>
  <c r="V90" i="19"/>
  <c r="U90" i="19"/>
  <c r="T90" i="19"/>
  <c r="S90" i="19"/>
  <c r="Q90" i="19"/>
  <c r="O90" i="19"/>
  <c r="M90" i="19"/>
  <c r="K90" i="19"/>
  <c r="X89" i="19"/>
  <c r="W89" i="19"/>
  <c r="V89" i="19"/>
  <c r="U89" i="19"/>
  <c r="T89" i="19"/>
  <c r="S89" i="19"/>
  <c r="Q89" i="19"/>
  <c r="O89" i="19"/>
  <c r="M89" i="19"/>
  <c r="K89" i="19"/>
  <c r="X88" i="19"/>
  <c r="W88" i="19"/>
  <c r="V88" i="19"/>
  <c r="U88" i="19"/>
  <c r="T88" i="19"/>
  <c r="S88" i="19"/>
  <c r="Q88" i="19"/>
  <c r="O88" i="19"/>
  <c r="M88" i="19"/>
  <c r="K88" i="19"/>
  <c r="X87" i="19"/>
  <c r="W87" i="19"/>
  <c r="V87" i="19"/>
  <c r="U87" i="19"/>
  <c r="T87" i="19"/>
  <c r="S87" i="19"/>
  <c r="Q87" i="19"/>
  <c r="O87" i="19"/>
  <c r="M87" i="19"/>
  <c r="K87" i="19"/>
  <c r="X86" i="19"/>
  <c r="W86" i="19"/>
  <c r="V86" i="19"/>
  <c r="U86" i="19"/>
  <c r="T86" i="19"/>
  <c r="S86" i="19"/>
  <c r="Q86" i="19"/>
  <c r="O86" i="19"/>
  <c r="M86" i="19"/>
  <c r="K86" i="19"/>
  <c r="X85" i="19"/>
  <c r="W85" i="19"/>
  <c r="V85" i="19"/>
  <c r="U85" i="19"/>
  <c r="T85" i="19"/>
  <c r="S85" i="19"/>
  <c r="Q85" i="19"/>
  <c r="O85" i="19"/>
  <c r="M85" i="19"/>
  <c r="K85" i="19"/>
  <c r="X84" i="19"/>
  <c r="W84" i="19"/>
  <c r="V84" i="19"/>
  <c r="U84" i="19"/>
  <c r="T84" i="19"/>
  <c r="S84" i="19"/>
  <c r="Q84" i="19"/>
  <c r="O84" i="19"/>
  <c r="M84" i="19"/>
  <c r="K84" i="19"/>
  <c r="X83" i="19"/>
  <c r="W83" i="19"/>
  <c r="V83" i="19"/>
  <c r="U83" i="19"/>
  <c r="T83" i="19"/>
  <c r="S83" i="19"/>
  <c r="Q83" i="19"/>
  <c r="O83" i="19"/>
  <c r="M83" i="19"/>
  <c r="K83" i="19"/>
  <c r="X82" i="19"/>
  <c r="W82" i="19"/>
  <c r="V82" i="19"/>
  <c r="U82" i="19"/>
  <c r="T82" i="19"/>
  <c r="S82" i="19"/>
  <c r="Q82" i="19"/>
  <c r="O82" i="19"/>
  <c r="M82" i="19"/>
  <c r="K82" i="19"/>
  <c r="X81" i="19"/>
  <c r="W81" i="19"/>
  <c r="V81" i="19"/>
  <c r="U81" i="19"/>
  <c r="T81" i="19"/>
  <c r="S81" i="19"/>
  <c r="Q81" i="19"/>
  <c r="O81" i="19"/>
  <c r="M81" i="19"/>
  <c r="K81" i="19"/>
  <c r="X80" i="19"/>
  <c r="W80" i="19"/>
  <c r="V80" i="19"/>
  <c r="U80" i="19"/>
  <c r="T80" i="19"/>
  <c r="S80" i="19"/>
  <c r="Q80" i="19"/>
  <c r="O80" i="19"/>
  <c r="M80" i="19"/>
  <c r="K80" i="19"/>
  <c r="X79" i="19"/>
  <c r="W79" i="19"/>
  <c r="V79" i="19"/>
  <c r="U79" i="19"/>
  <c r="T79" i="19"/>
  <c r="S79" i="19"/>
  <c r="Q79" i="19"/>
  <c r="O79" i="19"/>
  <c r="M79" i="19"/>
  <c r="K79" i="19"/>
  <c r="X78" i="19"/>
  <c r="W78" i="19"/>
  <c r="V78" i="19"/>
  <c r="U78" i="19"/>
  <c r="T78" i="19"/>
  <c r="S78" i="19"/>
  <c r="Q78" i="19"/>
  <c r="O78" i="19"/>
  <c r="M78" i="19"/>
  <c r="K78" i="19"/>
  <c r="X77" i="19"/>
  <c r="W77" i="19"/>
  <c r="V77" i="19"/>
  <c r="U77" i="19"/>
  <c r="T77" i="19"/>
  <c r="S77" i="19"/>
  <c r="Q77" i="19"/>
  <c r="O77" i="19"/>
  <c r="M77" i="19"/>
  <c r="K77" i="19"/>
  <c r="X76" i="19"/>
  <c r="W76" i="19"/>
  <c r="V76" i="19"/>
  <c r="U76" i="19"/>
  <c r="T76" i="19"/>
  <c r="S76" i="19"/>
  <c r="Q76" i="19"/>
  <c r="O76" i="19"/>
  <c r="M76" i="19"/>
  <c r="K76" i="19"/>
  <c r="X75" i="19"/>
  <c r="W75" i="19"/>
  <c r="V75" i="19"/>
  <c r="U75" i="19"/>
  <c r="T75" i="19"/>
  <c r="S75" i="19"/>
  <c r="Q75" i="19"/>
  <c r="O75" i="19"/>
  <c r="M75" i="19"/>
  <c r="K75" i="19"/>
  <c r="X74" i="19"/>
  <c r="W74" i="19"/>
  <c r="V74" i="19"/>
  <c r="U74" i="19"/>
  <c r="T74" i="19"/>
  <c r="S74" i="19"/>
  <c r="Q74" i="19"/>
  <c r="O74" i="19"/>
  <c r="M74" i="19"/>
  <c r="K74" i="19"/>
  <c r="X73" i="19"/>
  <c r="W73" i="19"/>
  <c r="V73" i="19"/>
  <c r="U73" i="19"/>
  <c r="T73" i="19"/>
  <c r="S73" i="19"/>
  <c r="Q73" i="19"/>
  <c r="O73" i="19"/>
  <c r="M73" i="19"/>
  <c r="K73" i="19"/>
  <c r="X72" i="19"/>
  <c r="W72" i="19"/>
  <c r="V72" i="19"/>
  <c r="U72" i="19"/>
  <c r="T72" i="19"/>
  <c r="S72" i="19"/>
  <c r="Q72" i="19"/>
  <c r="O72" i="19"/>
  <c r="M72" i="19"/>
  <c r="K72" i="19"/>
  <c r="X71" i="19"/>
  <c r="W71" i="19"/>
  <c r="V71" i="19"/>
  <c r="U71" i="19"/>
  <c r="T71" i="19"/>
  <c r="S71" i="19"/>
  <c r="Q71" i="19"/>
  <c r="O71" i="19"/>
  <c r="M71" i="19"/>
  <c r="K71" i="19"/>
  <c r="X70" i="19"/>
  <c r="W70" i="19"/>
  <c r="V70" i="19"/>
  <c r="U70" i="19"/>
  <c r="T70" i="19"/>
  <c r="S70" i="19"/>
  <c r="Q70" i="19"/>
  <c r="O70" i="19"/>
  <c r="M70" i="19"/>
  <c r="K70" i="19"/>
  <c r="X69" i="19"/>
  <c r="W69" i="19"/>
  <c r="V69" i="19"/>
  <c r="U69" i="19"/>
  <c r="T69" i="19"/>
  <c r="S69" i="19"/>
  <c r="Q69" i="19"/>
  <c r="O69" i="19"/>
  <c r="M69" i="19"/>
  <c r="K69" i="19"/>
  <c r="X68" i="19"/>
  <c r="W68" i="19"/>
  <c r="V68" i="19"/>
  <c r="U68" i="19"/>
  <c r="T68" i="19"/>
  <c r="S68" i="19"/>
  <c r="Q68" i="19"/>
  <c r="O68" i="19"/>
  <c r="M68" i="19"/>
  <c r="K68" i="19"/>
  <c r="X67" i="19"/>
  <c r="W67" i="19"/>
  <c r="V67" i="19"/>
  <c r="U67" i="19"/>
  <c r="T67" i="19"/>
  <c r="S67" i="19"/>
  <c r="Q67" i="19"/>
  <c r="O67" i="19"/>
  <c r="M67" i="19"/>
  <c r="K67" i="19"/>
  <c r="X66" i="19"/>
  <c r="W66" i="19"/>
  <c r="V66" i="19"/>
  <c r="U66" i="19"/>
  <c r="T66" i="19"/>
  <c r="S66" i="19"/>
  <c r="Q66" i="19"/>
  <c r="O66" i="19"/>
  <c r="M66" i="19"/>
  <c r="K66" i="19"/>
  <c r="X65" i="19"/>
  <c r="W65" i="19"/>
  <c r="V65" i="19"/>
  <c r="U65" i="19"/>
  <c r="T65" i="19"/>
  <c r="S65" i="19"/>
  <c r="Q65" i="19"/>
  <c r="O65" i="19"/>
  <c r="M65" i="19"/>
  <c r="K65" i="19"/>
  <c r="X64" i="19"/>
  <c r="W64" i="19"/>
  <c r="V64" i="19"/>
  <c r="U64" i="19"/>
  <c r="T64" i="19"/>
  <c r="S64" i="19"/>
  <c r="Q64" i="19"/>
  <c r="O64" i="19"/>
  <c r="M64" i="19"/>
  <c r="K64" i="19"/>
  <c r="X63" i="19"/>
  <c r="W63" i="19"/>
  <c r="V63" i="19"/>
  <c r="U63" i="19"/>
  <c r="T63" i="19"/>
  <c r="S63" i="19"/>
  <c r="Q63" i="19"/>
  <c r="O63" i="19"/>
  <c r="M63" i="19"/>
  <c r="K63" i="19"/>
  <c r="X62" i="19"/>
  <c r="W62" i="19"/>
  <c r="V62" i="19"/>
  <c r="U62" i="19"/>
  <c r="T62" i="19"/>
  <c r="S62" i="19"/>
  <c r="Q62" i="19"/>
  <c r="O62" i="19"/>
  <c r="M62" i="19"/>
  <c r="K62" i="19"/>
  <c r="X61" i="19"/>
  <c r="W61" i="19"/>
  <c r="V61" i="19"/>
  <c r="U61" i="19"/>
  <c r="T61" i="19"/>
  <c r="S61" i="19"/>
  <c r="Q61" i="19"/>
  <c r="O61" i="19"/>
  <c r="M61" i="19"/>
  <c r="K61" i="19"/>
  <c r="X60" i="19"/>
  <c r="W60" i="19"/>
  <c r="V60" i="19"/>
  <c r="U60" i="19"/>
  <c r="T60" i="19"/>
  <c r="S60" i="19"/>
  <c r="Q60" i="19"/>
  <c r="O60" i="19"/>
  <c r="M60" i="19"/>
  <c r="K60" i="19"/>
  <c r="X59" i="19"/>
  <c r="W59" i="19"/>
  <c r="V59" i="19"/>
  <c r="U59" i="19"/>
  <c r="T59" i="19"/>
  <c r="S59" i="19"/>
  <c r="Q59" i="19"/>
  <c r="O59" i="19"/>
  <c r="M59" i="19"/>
  <c r="K59" i="19"/>
  <c r="X58" i="19"/>
  <c r="W58" i="19"/>
  <c r="V58" i="19"/>
  <c r="U58" i="19"/>
  <c r="T58" i="19"/>
  <c r="S58" i="19"/>
  <c r="Q58" i="19"/>
  <c r="O58" i="19"/>
  <c r="M58" i="19"/>
  <c r="K58" i="19"/>
  <c r="X57" i="19"/>
  <c r="W57" i="19"/>
  <c r="V57" i="19"/>
  <c r="U57" i="19"/>
  <c r="T57" i="19"/>
  <c r="S57" i="19"/>
  <c r="Q57" i="19"/>
  <c r="O57" i="19"/>
  <c r="M57" i="19"/>
  <c r="K57" i="19"/>
  <c r="X56" i="19"/>
  <c r="W56" i="19"/>
  <c r="V56" i="19"/>
  <c r="U56" i="19"/>
  <c r="T56" i="19"/>
  <c r="S56" i="19"/>
  <c r="Q56" i="19"/>
  <c r="O56" i="19"/>
  <c r="M56" i="19"/>
  <c r="K56" i="19"/>
  <c r="X55" i="19"/>
  <c r="W55" i="19"/>
  <c r="V55" i="19"/>
  <c r="U55" i="19"/>
  <c r="T55" i="19"/>
  <c r="S55" i="19"/>
  <c r="Q55" i="19"/>
  <c r="O55" i="19"/>
  <c r="M55" i="19"/>
  <c r="K55" i="19"/>
  <c r="X54" i="19"/>
  <c r="W54" i="19"/>
  <c r="V54" i="19"/>
  <c r="U54" i="19"/>
  <c r="T54" i="19"/>
  <c r="S54" i="19"/>
  <c r="Q54" i="19"/>
  <c r="O54" i="19"/>
  <c r="M54" i="19"/>
  <c r="K54" i="19"/>
  <c r="X53" i="19"/>
  <c r="W53" i="19"/>
  <c r="V53" i="19"/>
  <c r="U53" i="19"/>
  <c r="T53" i="19"/>
  <c r="S53" i="19"/>
  <c r="Q53" i="19"/>
  <c r="O53" i="19"/>
  <c r="M53" i="19"/>
  <c r="K53" i="19"/>
  <c r="X52" i="19"/>
  <c r="W52" i="19"/>
  <c r="V52" i="19"/>
  <c r="U52" i="19"/>
  <c r="T52" i="19"/>
  <c r="S52" i="19"/>
  <c r="Q52" i="19"/>
  <c r="O52" i="19"/>
  <c r="M52" i="19"/>
  <c r="K52" i="19"/>
  <c r="X51" i="19"/>
  <c r="W51" i="19"/>
  <c r="V51" i="19"/>
  <c r="U51" i="19"/>
  <c r="T51" i="19"/>
  <c r="S51" i="19"/>
  <c r="Q51" i="19"/>
  <c r="O51" i="19"/>
  <c r="M51" i="19"/>
  <c r="K51" i="19"/>
  <c r="X50" i="19"/>
  <c r="W50" i="19"/>
  <c r="V50" i="19"/>
  <c r="U50" i="19"/>
  <c r="T50" i="19"/>
  <c r="S50" i="19"/>
  <c r="Q50" i="19"/>
  <c r="O50" i="19"/>
  <c r="M50" i="19"/>
  <c r="K50" i="19"/>
  <c r="X49" i="19"/>
  <c r="W49" i="19"/>
  <c r="V49" i="19"/>
  <c r="U49" i="19"/>
  <c r="T49" i="19"/>
  <c r="S49" i="19"/>
  <c r="Q49" i="19"/>
  <c r="O49" i="19"/>
  <c r="M49" i="19"/>
  <c r="K49" i="19"/>
  <c r="X48" i="19"/>
  <c r="W48" i="19"/>
  <c r="V48" i="19"/>
  <c r="U48" i="19"/>
  <c r="T48" i="19"/>
  <c r="S48" i="19"/>
  <c r="Q48" i="19"/>
  <c r="O48" i="19"/>
  <c r="M48" i="19"/>
  <c r="K48" i="19"/>
  <c r="X47" i="19"/>
  <c r="W47" i="19"/>
  <c r="V47" i="19"/>
  <c r="U47" i="19"/>
  <c r="T47" i="19"/>
  <c r="S47" i="19"/>
  <c r="Q47" i="19"/>
  <c r="O47" i="19"/>
  <c r="M47" i="19"/>
  <c r="K47" i="19"/>
  <c r="X46" i="19"/>
  <c r="W46" i="19"/>
  <c r="V46" i="19"/>
  <c r="U46" i="19"/>
  <c r="T46" i="19"/>
  <c r="S46" i="19"/>
  <c r="Q46" i="19"/>
  <c r="O46" i="19"/>
  <c r="M46" i="19"/>
  <c r="K46" i="19"/>
  <c r="X45" i="19"/>
  <c r="W45" i="19"/>
  <c r="V45" i="19"/>
  <c r="U45" i="19"/>
  <c r="T45" i="19"/>
  <c r="S45" i="19"/>
  <c r="Q45" i="19"/>
  <c r="O45" i="19"/>
  <c r="M45" i="19"/>
  <c r="K45" i="19"/>
  <c r="X44" i="19"/>
  <c r="W44" i="19"/>
  <c r="V44" i="19"/>
  <c r="U44" i="19"/>
  <c r="T44" i="19"/>
  <c r="S44" i="19"/>
  <c r="Q44" i="19"/>
  <c r="O44" i="19"/>
  <c r="M44" i="19"/>
  <c r="K44" i="19"/>
  <c r="X43" i="19"/>
  <c r="W43" i="19"/>
  <c r="V43" i="19"/>
  <c r="U43" i="19"/>
  <c r="T43" i="19"/>
  <c r="S43" i="19"/>
  <c r="Q43" i="19"/>
  <c r="O43" i="19"/>
  <c r="M43" i="19"/>
  <c r="K43" i="19"/>
  <c r="X42" i="19"/>
  <c r="W42" i="19"/>
  <c r="V42" i="19"/>
  <c r="U42" i="19"/>
  <c r="T42" i="19"/>
  <c r="S42" i="19"/>
  <c r="Q42" i="19"/>
  <c r="O42" i="19"/>
  <c r="M42" i="19"/>
  <c r="K42" i="19"/>
  <c r="X41" i="19"/>
  <c r="W41" i="19"/>
  <c r="V41" i="19"/>
  <c r="U41" i="19"/>
  <c r="T41" i="19"/>
  <c r="S41" i="19"/>
  <c r="Q41" i="19"/>
  <c r="O41" i="19"/>
  <c r="M41" i="19"/>
  <c r="K41" i="19"/>
  <c r="X40" i="19"/>
  <c r="W40" i="19"/>
  <c r="V40" i="19"/>
  <c r="U40" i="19"/>
  <c r="T40" i="19"/>
  <c r="S40" i="19"/>
  <c r="Q40" i="19"/>
  <c r="O40" i="19"/>
  <c r="M40" i="19"/>
  <c r="K40" i="19"/>
  <c r="X39" i="19"/>
  <c r="W39" i="19"/>
  <c r="V39" i="19"/>
  <c r="U39" i="19"/>
  <c r="T39" i="19"/>
  <c r="S39" i="19"/>
  <c r="Q39" i="19"/>
  <c r="O39" i="19"/>
  <c r="M39" i="19"/>
  <c r="K39" i="19"/>
  <c r="X38" i="19"/>
  <c r="W38" i="19"/>
  <c r="V38" i="19"/>
  <c r="U38" i="19"/>
  <c r="T38" i="19"/>
  <c r="S38" i="19"/>
  <c r="Q38" i="19"/>
  <c r="O38" i="19"/>
  <c r="M38" i="19"/>
  <c r="K38" i="19"/>
  <c r="X37" i="19"/>
  <c r="W37" i="19"/>
  <c r="V37" i="19"/>
  <c r="U37" i="19"/>
  <c r="T37" i="19"/>
  <c r="S37" i="19"/>
  <c r="Q37" i="19"/>
  <c r="O37" i="19"/>
  <c r="M37" i="19"/>
  <c r="K37" i="19"/>
  <c r="X36" i="19"/>
  <c r="W36" i="19"/>
  <c r="V36" i="19"/>
  <c r="U36" i="19"/>
  <c r="T36" i="19"/>
  <c r="S36" i="19"/>
  <c r="Q36" i="19"/>
  <c r="O36" i="19"/>
  <c r="M36" i="19"/>
  <c r="K36" i="19"/>
  <c r="X35" i="19"/>
  <c r="W35" i="19"/>
  <c r="V35" i="19"/>
  <c r="U35" i="19"/>
  <c r="T35" i="19"/>
  <c r="S35" i="19"/>
  <c r="Q35" i="19"/>
  <c r="O35" i="19"/>
  <c r="M35" i="19"/>
  <c r="K35" i="19"/>
  <c r="X34" i="19"/>
  <c r="W34" i="19"/>
  <c r="V34" i="19"/>
  <c r="U34" i="19"/>
  <c r="T34" i="19"/>
  <c r="S34" i="19"/>
  <c r="Q34" i="19"/>
  <c r="O34" i="19"/>
  <c r="M34" i="19"/>
  <c r="K34" i="19"/>
  <c r="X33" i="19"/>
  <c r="W33" i="19"/>
  <c r="V33" i="19"/>
  <c r="U33" i="19"/>
  <c r="T33" i="19"/>
  <c r="S33" i="19"/>
  <c r="Q33" i="19"/>
  <c r="O33" i="19"/>
  <c r="M33" i="19"/>
  <c r="K33" i="19"/>
  <c r="X32" i="19"/>
  <c r="W32" i="19"/>
  <c r="V32" i="19"/>
  <c r="U32" i="19"/>
  <c r="T32" i="19"/>
  <c r="S32" i="19"/>
  <c r="Q32" i="19"/>
  <c r="O32" i="19"/>
  <c r="M32" i="19"/>
  <c r="K32" i="19"/>
  <c r="X31" i="19"/>
  <c r="W31" i="19"/>
  <c r="V31" i="19"/>
  <c r="U31" i="19"/>
  <c r="T31" i="19"/>
  <c r="S31" i="19"/>
  <c r="Q31" i="19"/>
  <c r="O31" i="19"/>
  <c r="M31" i="19"/>
  <c r="K31" i="19"/>
  <c r="X30" i="19"/>
  <c r="W30" i="19"/>
  <c r="V30" i="19"/>
  <c r="U30" i="19"/>
  <c r="T30" i="19"/>
  <c r="S30" i="19"/>
  <c r="Q30" i="19"/>
  <c r="O30" i="19"/>
  <c r="M30" i="19"/>
  <c r="K30" i="19"/>
  <c r="X29" i="19"/>
  <c r="W29" i="19"/>
  <c r="V29" i="19"/>
  <c r="U29" i="19"/>
  <c r="T29" i="19"/>
  <c r="S29" i="19"/>
  <c r="Q29" i="19"/>
  <c r="O29" i="19"/>
  <c r="M29" i="19"/>
  <c r="K29" i="19"/>
  <c r="X28" i="19"/>
  <c r="W28" i="19"/>
  <c r="V28" i="19"/>
  <c r="U28" i="19"/>
  <c r="T28" i="19"/>
  <c r="S28" i="19"/>
  <c r="Q28" i="19"/>
  <c r="O28" i="19"/>
  <c r="M28" i="19"/>
  <c r="K28" i="19"/>
  <c r="X27" i="19"/>
  <c r="W27" i="19"/>
  <c r="V27" i="19"/>
  <c r="U27" i="19"/>
  <c r="T27" i="19"/>
  <c r="S27" i="19"/>
  <c r="Q27" i="19"/>
  <c r="O27" i="19"/>
  <c r="M27" i="19"/>
  <c r="K27" i="19"/>
  <c r="X26" i="19"/>
  <c r="W26" i="19"/>
  <c r="V26" i="19"/>
  <c r="U26" i="19"/>
  <c r="T26" i="19"/>
  <c r="S26" i="19"/>
  <c r="Q26" i="19"/>
  <c r="O26" i="19"/>
  <c r="M26" i="19"/>
  <c r="K26" i="19"/>
  <c r="X25" i="19"/>
  <c r="W25" i="19"/>
  <c r="V25" i="19"/>
  <c r="U25" i="19"/>
  <c r="T25" i="19"/>
  <c r="S25" i="19"/>
  <c r="Q25" i="19"/>
  <c r="O25" i="19"/>
  <c r="M25" i="19"/>
  <c r="K25" i="19"/>
  <c r="X24" i="19"/>
  <c r="W24" i="19"/>
  <c r="V24" i="19"/>
  <c r="U24" i="19"/>
  <c r="T24" i="19"/>
  <c r="S24" i="19"/>
  <c r="Q24" i="19"/>
  <c r="O24" i="19"/>
  <c r="M24" i="19"/>
  <c r="K24" i="19"/>
  <c r="X23" i="19"/>
  <c r="W23" i="19"/>
  <c r="V23" i="19"/>
  <c r="U23" i="19"/>
  <c r="T23" i="19"/>
  <c r="S23" i="19"/>
  <c r="Q23" i="19"/>
  <c r="O23" i="19"/>
  <c r="M23" i="19"/>
  <c r="K23" i="19"/>
  <c r="X22" i="19"/>
  <c r="W22" i="19"/>
  <c r="V22" i="19"/>
  <c r="U22" i="19"/>
  <c r="T22" i="19"/>
  <c r="S22" i="19"/>
  <c r="Q22" i="19"/>
  <c r="O22" i="19"/>
  <c r="M22" i="19"/>
  <c r="K22" i="19"/>
  <c r="X21" i="19"/>
  <c r="W21" i="19"/>
  <c r="V21" i="19"/>
  <c r="U21" i="19"/>
  <c r="T21" i="19"/>
  <c r="S21" i="19"/>
  <c r="Q21" i="19"/>
  <c r="O21" i="19"/>
  <c r="M21" i="19"/>
  <c r="K21" i="19"/>
  <c r="X20" i="19"/>
  <c r="W20" i="19"/>
  <c r="V20" i="19"/>
  <c r="U20" i="19"/>
  <c r="T20" i="19"/>
  <c r="S20" i="19"/>
  <c r="Q20" i="19"/>
  <c r="O20" i="19"/>
  <c r="M20" i="19"/>
  <c r="K20" i="19"/>
  <c r="X19" i="19"/>
  <c r="W19" i="19"/>
  <c r="V19" i="19"/>
  <c r="U19" i="19"/>
  <c r="T19" i="19"/>
  <c r="S19" i="19"/>
  <c r="Q19" i="19"/>
  <c r="O19" i="19"/>
  <c r="M19" i="19"/>
  <c r="K19" i="19"/>
  <c r="X18" i="19"/>
  <c r="W18" i="19"/>
  <c r="V18" i="19"/>
  <c r="U18" i="19"/>
  <c r="T18" i="19"/>
  <c r="S18" i="19"/>
  <c r="Q18" i="19"/>
  <c r="O18" i="19"/>
  <c r="M18" i="19"/>
  <c r="K18" i="19"/>
  <c r="X17" i="19"/>
  <c r="W17" i="19"/>
  <c r="V17" i="19"/>
  <c r="U17" i="19"/>
  <c r="T17" i="19"/>
  <c r="S17" i="19"/>
  <c r="Q17" i="19"/>
  <c r="O17" i="19"/>
  <c r="M17" i="19"/>
  <c r="K17" i="19"/>
  <c r="X16" i="19"/>
  <c r="W16" i="19"/>
  <c r="V16" i="19"/>
  <c r="U16" i="19"/>
  <c r="T16" i="19"/>
  <c r="S16" i="19"/>
  <c r="Q16" i="19"/>
  <c r="O16" i="19"/>
  <c r="M16" i="19"/>
  <c r="K16" i="19"/>
  <c r="X15" i="19"/>
  <c r="W15" i="19"/>
  <c r="V15" i="19"/>
  <c r="U15" i="19"/>
  <c r="T15" i="19"/>
  <c r="S15" i="19"/>
  <c r="Q15" i="19"/>
  <c r="O15" i="19"/>
  <c r="M15" i="19"/>
  <c r="K15" i="19"/>
  <c r="X14" i="19"/>
  <c r="W14" i="19"/>
  <c r="V14" i="19"/>
  <c r="U14" i="19"/>
  <c r="T14" i="19"/>
  <c r="S14" i="19"/>
  <c r="Q14" i="19"/>
  <c r="O14" i="19"/>
  <c r="M14" i="19"/>
  <c r="K14" i="19"/>
  <c r="X13" i="19"/>
  <c r="W13" i="19"/>
  <c r="V13" i="19"/>
  <c r="U13" i="19"/>
  <c r="T13" i="19"/>
  <c r="S13" i="19"/>
  <c r="Q13" i="19"/>
  <c r="O13" i="19"/>
  <c r="M13" i="19"/>
  <c r="K13" i="19"/>
  <c r="X12" i="19"/>
  <c r="W12" i="19"/>
  <c r="V12" i="19"/>
  <c r="U12" i="19"/>
  <c r="T12" i="19"/>
  <c r="S12" i="19"/>
  <c r="Q12" i="19"/>
  <c r="O12" i="19"/>
  <c r="M12" i="19"/>
  <c r="K12" i="19"/>
  <c r="X11" i="19"/>
  <c r="W11" i="19"/>
  <c r="V11" i="19"/>
  <c r="U11" i="19"/>
  <c r="T11" i="19"/>
  <c r="S11" i="19"/>
  <c r="Q11" i="19"/>
  <c r="O11" i="19"/>
  <c r="M11" i="19"/>
  <c r="K11" i="19"/>
  <c r="X10" i="19"/>
  <c r="W10" i="19"/>
  <c r="V10" i="19"/>
  <c r="U10" i="19"/>
  <c r="T10" i="19"/>
  <c r="S10" i="19"/>
  <c r="Q10" i="19"/>
  <c r="O10" i="19"/>
  <c r="M10" i="19"/>
  <c r="K10" i="19"/>
  <c r="X9" i="19"/>
  <c r="W9" i="19"/>
  <c r="V9" i="19"/>
  <c r="U9" i="19"/>
  <c r="T9" i="19"/>
  <c r="S9" i="19"/>
  <c r="Q9" i="19"/>
  <c r="O9" i="19"/>
  <c r="M9" i="19"/>
  <c r="K9" i="19"/>
  <c r="X8" i="19"/>
  <c r="W8" i="19"/>
  <c r="V8" i="19"/>
  <c r="U8" i="19"/>
  <c r="T8" i="19"/>
  <c r="S8" i="19"/>
  <c r="Q8" i="19"/>
  <c r="O8" i="19"/>
  <c r="M8" i="19"/>
  <c r="K8" i="19"/>
  <c r="X7" i="19"/>
  <c r="W7" i="19"/>
  <c r="V7" i="19"/>
  <c r="U7" i="19"/>
  <c r="T7" i="19"/>
  <c r="S7" i="19"/>
  <c r="Q7" i="19"/>
  <c r="O7" i="19"/>
  <c r="M7" i="19"/>
  <c r="K7" i="19"/>
  <c r="X302" i="18"/>
  <c r="W302" i="18"/>
  <c r="V302" i="18"/>
  <c r="U302" i="18"/>
  <c r="T302" i="18"/>
  <c r="S302" i="18"/>
  <c r="Q302" i="18"/>
  <c r="O302" i="18"/>
  <c r="M302" i="18"/>
  <c r="K302" i="18"/>
  <c r="X301" i="18"/>
  <c r="W301" i="18"/>
  <c r="V301" i="18"/>
  <c r="U301" i="18"/>
  <c r="T301" i="18"/>
  <c r="S301" i="18"/>
  <c r="Q301" i="18"/>
  <c r="O301" i="18"/>
  <c r="M301" i="18"/>
  <c r="K301" i="18"/>
  <c r="X300" i="18"/>
  <c r="W300" i="18"/>
  <c r="V300" i="18"/>
  <c r="U300" i="18"/>
  <c r="T300" i="18"/>
  <c r="S300" i="18"/>
  <c r="Q300" i="18"/>
  <c r="O300" i="18"/>
  <c r="M300" i="18"/>
  <c r="K300" i="18"/>
  <c r="X299" i="18"/>
  <c r="W299" i="18"/>
  <c r="V299" i="18"/>
  <c r="U299" i="18"/>
  <c r="T299" i="18"/>
  <c r="S299" i="18"/>
  <c r="Q299" i="18"/>
  <c r="O299" i="18"/>
  <c r="M299" i="18"/>
  <c r="K299" i="18"/>
  <c r="X298" i="18"/>
  <c r="W298" i="18"/>
  <c r="V298" i="18"/>
  <c r="U298" i="18"/>
  <c r="T298" i="18"/>
  <c r="S298" i="18"/>
  <c r="Q298" i="18"/>
  <c r="O298" i="18"/>
  <c r="M298" i="18"/>
  <c r="K298" i="18"/>
  <c r="X297" i="18"/>
  <c r="W297" i="18"/>
  <c r="V297" i="18"/>
  <c r="U297" i="18"/>
  <c r="T297" i="18"/>
  <c r="S297" i="18"/>
  <c r="Q297" i="18"/>
  <c r="O297" i="18"/>
  <c r="M297" i="18"/>
  <c r="K297" i="18"/>
  <c r="X296" i="18"/>
  <c r="W296" i="18"/>
  <c r="V296" i="18"/>
  <c r="U296" i="18"/>
  <c r="T296" i="18"/>
  <c r="S296" i="18"/>
  <c r="Q296" i="18"/>
  <c r="O296" i="18"/>
  <c r="M296" i="18"/>
  <c r="K296" i="18"/>
  <c r="X295" i="18"/>
  <c r="W295" i="18"/>
  <c r="V295" i="18"/>
  <c r="U295" i="18"/>
  <c r="T295" i="18"/>
  <c r="S295" i="18"/>
  <c r="Q295" i="18"/>
  <c r="O295" i="18"/>
  <c r="M295" i="18"/>
  <c r="K295" i="18"/>
  <c r="X294" i="18"/>
  <c r="W294" i="18"/>
  <c r="V294" i="18"/>
  <c r="U294" i="18"/>
  <c r="T294" i="18"/>
  <c r="S294" i="18"/>
  <c r="Q294" i="18"/>
  <c r="O294" i="18"/>
  <c r="M294" i="18"/>
  <c r="K294" i="18"/>
  <c r="X293" i="18"/>
  <c r="W293" i="18"/>
  <c r="V293" i="18"/>
  <c r="U293" i="18"/>
  <c r="T293" i="18"/>
  <c r="S293" i="18"/>
  <c r="Q293" i="18"/>
  <c r="O293" i="18"/>
  <c r="M293" i="18"/>
  <c r="K293" i="18"/>
  <c r="X292" i="18"/>
  <c r="W292" i="18"/>
  <c r="V292" i="18"/>
  <c r="U292" i="18"/>
  <c r="T292" i="18"/>
  <c r="S292" i="18"/>
  <c r="Q292" i="18"/>
  <c r="O292" i="18"/>
  <c r="M292" i="18"/>
  <c r="K292" i="18"/>
  <c r="X291" i="18"/>
  <c r="W291" i="18"/>
  <c r="V291" i="18"/>
  <c r="U291" i="18"/>
  <c r="T291" i="18"/>
  <c r="S291" i="18"/>
  <c r="Q291" i="18"/>
  <c r="O291" i="18"/>
  <c r="M291" i="18"/>
  <c r="K291" i="18"/>
  <c r="X290" i="18"/>
  <c r="W290" i="18"/>
  <c r="V290" i="18"/>
  <c r="U290" i="18"/>
  <c r="T290" i="18"/>
  <c r="S290" i="18"/>
  <c r="Q290" i="18"/>
  <c r="O290" i="18"/>
  <c r="M290" i="18"/>
  <c r="K290" i="18"/>
  <c r="X289" i="18"/>
  <c r="W289" i="18"/>
  <c r="V289" i="18"/>
  <c r="U289" i="18"/>
  <c r="T289" i="18"/>
  <c r="S289" i="18"/>
  <c r="Q289" i="18"/>
  <c r="O289" i="18"/>
  <c r="M289" i="18"/>
  <c r="K289" i="18"/>
  <c r="X288" i="18"/>
  <c r="W288" i="18"/>
  <c r="V288" i="18"/>
  <c r="U288" i="18"/>
  <c r="T288" i="18"/>
  <c r="S288" i="18"/>
  <c r="Q288" i="18"/>
  <c r="O288" i="18"/>
  <c r="M288" i="18"/>
  <c r="K288" i="18"/>
  <c r="X287" i="18"/>
  <c r="W287" i="18"/>
  <c r="V287" i="18"/>
  <c r="U287" i="18"/>
  <c r="T287" i="18"/>
  <c r="S287" i="18"/>
  <c r="Q287" i="18"/>
  <c r="O287" i="18"/>
  <c r="M287" i="18"/>
  <c r="K287" i="18"/>
  <c r="X286" i="18"/>
  <c r="W286" i="18"/>
  <c r="V286" i="18"/>
  <c r="U286" i="18"/>
  <c r="T286" i="18"/>
  <c r="S286" i="18"/>
  <c r="Q286" i="18"/>
  <c r="O286" i="18"/>
  <c r="M286" i="18"/>
  <c r="K286" i="18"/>
  <c r="X285" i="18"/>
  <c r="W285" i="18"/>
  <c r="V285" i="18"/>
  <c r="U285" i="18"/>
  <c r="T285" i="18"/>
  <c r="S285" i="18"/>
  <c r="Q285" i="18"/>
  <c r="O285" i="18"/>
  <c r="M285" i="18"/>
  <c r="K285" i="18"/>
  <c r="X284" i="18"/>
  <c r="W284" i="18"/>
  <c r="V284" i="18"/>
  <c r="U284" i="18"/>
  <c r="T284" i="18"/>
  <c r="S284" i="18"/>
  <c r="Q284" i="18"/>
  <c r="O284" i="18"/>
  <c r="M284" i="18"/>
  <c r="K284" i="18"/>
  <c r="X283" i="18"/>
  <c r="W283" i="18"/>
  <c r="V283" i="18"/>
  <c r="U283" i="18"/>
  <c r="T283" i="18"/>
  <c r="S283" i="18"/>
  <c r="Q283" i="18"/>
  <c r="O283" i="18"/>
  <c r="M283" i="18"/>
  <c r="K283" i="18"/>
  <c r="X282" i="18"/>
  <c r="W282" i="18"/>
  <c r="V282" i="18"/>
  <c r="U282" i="18"/>
  <c r="T282" i="18"/>
  <c r="S282" i="18"/>
  <c r="Q282" i="18"/>
  <c r="O282" i="18"/>
  <c r="M282" i="18"/>
  <c r="K282" i="18"/>
  <c r="X281" i="18"/>
  <c r="W281" i="18"/>
  <c r="V281" i="18"/>
  <c r="U281" i="18"/>
  <c r="T281" i="18"/>
  <c r="S281" i="18"/>
  <c r="Q281" i="18"/>
  <c r="O281" i="18"/>
  <c r="M281" i="18"/>
  <c r="K281" i="18"/>
  <c r="X280" i="18"/>
  <c r="W280" i="18"/>
  <c r="V280" i="18"/>
  <c r="U280" i="18"/>
  <c r="T280" i="18"/>
  <c r="S280" i="18"/>
  <c r="Q280" i="18"/>
  <c r="O280" i="18"/>
  <c r="M280" i="18"/>
  <c r="K280" i="18"/>
  <c r="X279" i="18"/>
  <c r="W279" i="18"/>
  <c r="V279" i="18"/>
  <c r="U279" i="18"/>
  <c r="T279" i="18"/>
  <c r="S279" i="18"/>
  <c r="Q279" i="18"/>
  <c r="O279" i="18"/>
  <c r="M279" i="18"/>
  <c r="K279" i="18"/>
  <c r="X278" i="18"/>
  <c r="W278" i="18"/>
  <c r="V278" i="18"/>
  <c r="U278" i="18"/>
  <c r="T278" i="18"/>
  <c r="S278" i="18"/>
  <c r="Q278" i="18"/>
  <c r="O278" i="18"/>
  <c r="M278" i="18"/>
  <c r="K278" i="18"/>
  <c r="X277" i="18"/>
  <c r="W277" i="18"/>
  <c r="V277" i="18"/>
  <c r="U277" i="18"/>
  <c r="T277" i="18"/>
  <c r="S277" i="18"/>
  <c r="Q277" i="18"/>
  <c r="O277" i="18"/>
  <c r="M277" i="18"/>
  <c r="K277" i="18"/>
  <c r="X276" i="18"/>
  <c r="W276" i="18"/>
  <c r="V276" i="18"/>
  <c r="U276" i="18"/>
  <c r="T276" i="18"/>
  <c r="S276" i="18"/>
  <c r="Q276" i="18"/>
  <c r="O276" i="18"/>
  <c r="M276" i="18"/>
  <c r="K276" i="18"/>
  <c r="X275" i="18"/>
  <c r="W275" i="18"/>
  <c r="V275" i="18"/>
  <c r="U275" i="18"/>
  <c r="T275" i="18"/>
  <c r="S275" i="18"/>
  <c r="Q275" i="18"/>
  <c r="O275" i="18"/>
  <c r="M275" i="18"/>
  <c r="K275" i="18"/>
  <c r="X274" i="18"/>
  <c r="W274" i="18"/>
  <c r="V274" i="18"/>
  <c r="U274" i="18"/>
  <c r="T274" i="18"/>
  <c r="S274" i="18"/>
  <c r="Q274" i="18"/>
  <c r="O274" i="18"/>
  <c r="M274" i="18"/>
  <c r="K274" i="18"/>
  <c r="X273" i="18"/>
  <c r="W273" i="18"/>
  <c r="V273" i="18"/>
  <c r="U273" i="18"/>
  <c r="T273" i="18"/>
  <c r="S273" i="18"/>
  <c r="Q273" i="18"/>
  <c r="O273" i="18"/>
  <c r="M273" i="18"/>
  <c r="K273" i="18"/>
  <c r="X272" i="18"/>
  <c r="W272" i="18"/>
  <c r="V272" i="18"/>
  <c r="U272" i="18"/>
  <c r="T272" i="18"/>
  <c r="S272" i="18"/>
  <c r="Q272" i="18"/>
  <c r="O272" i="18"/>
  <c r="M272" i="18"/>
  <c r="K272" i="18"/>
  <c r="X271" i="18"/>
  <c r="W271" i="18"/>
  <c r="V271" i="18"/>
  <c r="U271" i="18"/>
  <c r="T271" i="18"/>
  <c r="S271" i="18"/>
  <c r="Q271" i="18"/>
  <c r="O271" i="18"/>
  <c r="M271" i="18"/>
  <c r="K271" i="18"/>
  <c r="X270" i="18"/>
  <c r="W270" i="18"/>
  <c r="V270" i="18"/>
  <c r="U270" i="18"/>
  <c r="T270" i="18"/>
  <c r="S270" i="18"/>
  <c r="Q270" i="18"/>
  <c r="O270" i="18"/>
  <c r="M270" i="18"/>
  <c r="K270" i="18"/>
  <c r="X269" i="18"/>
  <c r="W269" i="18"/>
  <c r="V269" i="18"/>
  <c r="U269" i="18"/>
  <c r="T269" i="18"/>
  <c r="S269" i="18"/>
  <c r="Q269" i="18"/>
  <c r="O269" i="18"/>
  <c r="M269" i="18"/>
  <c r="K269" i="18"/>
  <c r="X268" i="18"/>
  <c r="W268" i="18"/>
  <c r="V268" i="18"/>
  <c r="U268" i="18"/>
  <c r="T268" i="18"/>
  <c r="S268" i="18"/>
  <c r="Q268" i="18"/>
  <c r="O268" i="18"/>
  <c r="M268" i="18"/>
  <c r="K268" i="18"/>
  <c r="X267" i="18"/>
  <c r="W267" i="18"/>
  <c r="V267" i="18"/>
  <c r="U267" i="18"/>
  <c r="T267" i="18"/>
  <c r="S267" i="18"/>
  <c r="Q267" i="18"/>
  <c r="O267" i="18"/>
  <c r="M267" i="18"/>
  <c r="K267" i="18"/>
  <c r="X266" i="18"/>
  <c r="W266" i="18"/>
  <c r="V266" i="18"/>
  <c r="U266" i="18"/>
  <c r="T266" i="18"/>
  <c r="S266" i="18"/>
  <c r="Q266" i="18"/>
  <c r="O266" i="18"/>
  <c r="M266" i="18"/>
  <c r="K266" i="18"/>
  <c r="X265" i="18"/>
  <c r="W265" i="18"/>
  <c r="V265" i="18"/>
  <c r="U265" i="18"/>
  <c r="T265" i="18"/>
  <c r="S265" i="18"/>
  <c r="Q265" i="18"/>
  <c r="O265" i="18"/>
  <c r="M265" i="18"/>
  <c r="K265" i="18"/>
  <c r="X264" i="18"/>
  <c r="W264" i="18"/>
  <c r="V264" i="18"/>
  <c r="U264" i="18"/>
  <c r="T264" i="18"/>
  <c r="S264" i="18"/>
  <c r="Q264" i="18"/>
  <c r="O264" i="18"/>
  <c r="M264" i="18"/>
  <c r="K264" i="18"/>
  <c r="X263" i="18"/>
  <c r="W263" i="18"/>
  <c r="V263" i="18"/>
  <c r="U263" i="18"/>
  <c r="T263" i="18"/>
  <c r="S263" i="18"/>
  <c r="Q263" i="18"/>
  <c r="O263" i="18"/>
  <c r="M263" i="18"/>
  <c r="K263" i="18"/>
  <c r="X262" i="18"/>
  <c r="W262" i="18"/>
  <c r="V262" i="18"/>
  <c r="U262" i="18"/>
  <c r="T262" i="18"/>
  <c r="S262" i="18"/>
  <c r="Q262" i="18"/>
  <c r="O262" i="18"/>
  <c r="M262" i="18"/>
  <c r="K262" i="18"/>
  <c r="X261" i="18"/>
  <c r="W261" i="18"/>
  <c r="V261" i="18"/>
  <c r="U261" i="18"/>
  <c r="T261" i="18"/>
  <c r="S261" i="18"/>
  <c r="Q261" i="18"/>
  <c r="O261" i="18"/>
  <c r="M261" i="18"/>
  <c r="K261" i="18"/>
  <c r="X260" i="18"/>
  <c r="W260" i="18"/>
  <c r="V260" i="18"/>
  <c r="U260" i="18"/>
  <c r="T260" i="18"/>
  <c r="S260" i="18"/>
  <c r="Q260" i="18"/>
  <c r="O260" i="18"/>
  <c r="M260" i="18"/>
  <c r="K260" i="18"/>
  <c r="X259" i="18"/>
  <c r="W259" i="18"/>
  <c r="V259" i="18"/>
  <c r="U259" i="18"/>
  <c r="T259" i="18"/>
  <c r="S259" i="18"/>
  <c r="Q259" i="18"/>
  <c r="O259" i="18"/>
  <c r="M259" i="18"/>
  <c r="K259" i="18"/>
  <c r="X258" i="18"/>
  <c r="W258" i="18"/>
  <c r="V258" i="18"/>
  <c r="U258" i="18"/>
  <c r="T258" i="18"/>
  <c r="S258" i="18"/>
  <c r="Q258" i="18"/>
  <c r="O258" i="18"/>
  <c r="M258" i="18"/>
  <c r="K258" i="18"/>
  <c r="X257" i="18"/>
  <c r="W257" i="18"/>
  <c r="V257" i="18"/>
  <c r="U257" i="18"/>
  <c r="T257" i="18"/>
  <c r="S257" i="18"/>
  <c r="Q257" i="18"/>
  <c r="O257" i="18"/>
  <c r="M257" i="18"/>
  <c r="K257" i="18"/>
  <c r="X256" i="18"/>
  <c r="W256" i="18"/>
  <c r="V256" i="18"/>
  <c r="U256" i="18"/>
  <c r="T256" i="18"/>
  <c r="S256" i="18"/>
  <c r="Q256" i="18"/>
  <c r="O256" i="18"/>
  <c r="M256" i="18"/>
  <c r="K256" i="18"/>
  <c r="X255" i="18"/>
  <c r="W255" i="18"/>
  <c r="V255" i="18"/>
  <c r="U255" i="18"/>
  <c r="T255" i="18"/>
  <c r="S255" i="18"/>
  <c r="Q255" i="18"/>
  <c r="O255" i="18"/>
  <c r="M255" i="18"/>
  <c r="K255" i="18"/>
  <c r="X254" i="18"/>
  <c r="W254" i="18"/>
  <c r="V254" i="18"/>
  <c r="U254" i="18"/>
  <c r="T254" i="18"/>
  <c r="S254" i="18"/>
  <c r="Q254" i="18"/>
  <c r="O254" i="18"/>
  <c r="M254" i="18"/>
  <c r="K254" i="18"/>
  <c r="X253" i="18"/>
  <c r="W253" i="18"/>
  <c r="V253" i="18"/>
  <c r="U253" i="18"/>
  <c r="T253" i="18"/>
  <c r="S253" i="18"/>
  <c r="Q253" i="18"/>
  <c r="O253" i="18"/>
  <c r="M253" i="18"/>
  <c r="K253" i="18"/>
  <c r="X252" i="18"/>
  <c r="W252" i="18"/>
  <c r="V252" i="18"/>
  <c r="U252" i="18"/>
  <c r="T252" i="18"/>
  <c r="S252" i="18"/>
  <c r="Q252" i="18"/>
  <c r="O252" i="18"/>
  <c r="M252" i="18"/>
  <c r="K252" i="18"/>
  <c r="X251" i="18"/>
  <c r="W251" i="18"/>
  <c r="V251" i="18"/>
  <c r="U251" i="18"/>
  <c r="T251" i="18"/>
  <c r="S251" i="18"/>
  <c r="Q251" i="18"/>
  <c r="O251" i="18"/>
  <c r="M251" i="18"/>
  <c r="K251" i="18"/>
  <c r="X250" i="18"/>
  <c r="W250" i="18"/>
  <c r="V250" i="18"/>
  <c r="U250" i="18"/>
  <c r="T250" i="18"/>
  <c r="S250" i="18"/>
  <c r="Q250" i="18"/>
  <c r="O250" i="18"/>
  <c r="M250" i="18"/>
  <c r="K250" i="18"/>
  <c r="X249" i="18"/>
  <c r="W249" i="18"/>
  <c r="V249" i="18"/>
  <c r="U249" i="18"/>
  <c r="T249" i="18"/>
  <c r="S249" i="18"/>
  <c r="Q249" i="18"/>
  <c r="O249" i="18"/>
  <c r="M249" i="18"/>
  <c r="K249" i="18"/>
  <c r="X248" i="18"/>
  <c r="W248" i="18"/>
  <c r="V248" i="18"/>
  <c r="U248" i="18"/>
  <c r="T248" i="18"/>
  <c r="S248" i="18"/>
  <c r="Q248" i="18"/>
  <c r="O248" i="18"/>
  <c r="M248" i="18"/>
  <c r="K248" i="18"/>
  <c r="X247" i="18"/>
  <c r="W247" i="18"/>
  <c r="V247" i="18"/>
  <c r="U247" i="18"/>
  <c r="T247" i="18"/>
  <c r="S247" i="18"/>
  <c r="Q247" i="18"/>
  <c r="O247" i="18"/>
  <c r="M247" i="18"/>
  <c r="K247" i="18"/>
  <c r="X246" i="18"/>
  <c r="W246" i="18"/>
  <c r="V246" i="18"/>
  <c r="U246" i="18"/>
  <c r="T246" i="18"/>
  <c r="S246" i="18"/>
  <c r="Q246" i="18"/>
  <c r="O246" i="18"/>
  <c r="M246" i="18"/>
  <c r="K246" i="18"/>
  <c r="X245" i="18"/>
  <c r="W245" i="18"/>
  <c r="V245" i="18"/>
  <c r="U245" i="18"/>
  <c r="T245" i="18"/>
  <c r="S245" i="18"/>
  <c r="Q245" i="18"/>
  <c r="O245" i="18"/>
  <c r="M245" i="18"/>
  <c r="K245" i="18"/>
  <c r="X244" i="18"/>
  <c r="W244" i="18"/>
  <c r="V244" i="18"/>
  <c r="U244" i="18"/>
  <c r="T244" i="18"/>
  <c r="S244" i="18"/>
  <c r="Q244" i="18"/>
  <c r="O244" i="18"/>
  <c r="M244" i="18"/>
  <c r="K244" i="18"/>
  <c r="X243" i="18"/>
  <c r="W243" i="18"/>
  <c r="V243" i="18"/>
  <c r="U243" i="18"/>
  <c r="T243" i="18"/>
  <c r="S243" i="18"/>
  <c r="Q243" i="18"/>
  <c r="O243" i="18"/>
  <c r="M243" i="18"/>
  <c r="K243" i="18"/>
  <c r="X242" i="18"/>
  <c r="W242" i="18"/>
  <c r="V242" i="18"/>
  <c r="U242" i="18"/>
  <c r="T242" i="18"/>
  <c r="S242" i="18"/>
  <c r="Q242" i="18"/>
  <c r="O242" i="18"/>
  <c r="M242" i="18"/>
  <c r="K242" i="18"/>
  <c r="X241" i="18"/>
  <c r="W241" i="18"/>
  <c r="V241" i="18"/>
  <c r="U241" i="18"/>
  <c r="T241" i="18"/>
  <c r="S241" i="18"/>
  <c r="Q241" i="18"/>
  <c r="O241" i="18"/>
  <c r="M241" i="18"/>
  <c r="K241" i="18"/>
  <c r="X240" i="18"/>
  <c r="W240" i="18"/>
  <c r="V240" i="18"/>
  <c r="U240" i="18"/>
  <c r="T240" i="18"/>
  <c r="S240" i="18"/>
  <c r="Q240" i="18"/>
  <c r="O240" i="18"/>
  <c r="M240" i="18"/>
  <c r="K240" i="18"/>
  <c r="X239" i="18"/>
  <c r="W239" i="18"/>
  <c r="V239" i="18"/>
  <c r="U239" i="18"/>
  <c r="T239" i="18"/>
  <c r="S239" i="18"/>
  <c r="Q239" i="18"/>
  <c r="O239" i="18"/>
  <c r="M239" i="18"/>
  <c r="K239" i="18"/>
  <c r="X238" i="18"/>
  <c r="W238" i="18"/>
  <c r="V238" i="18"/>
  <c r="U238" i="18"/>
  <c r="T238" i="18"/>
  <c r="S238" i="18"/>
  <c r="Q238" i="18"/>
  <c r="O238" i="18"/>
  <c r="M238" i="18"/>
  <c r="K238" i="18"/>
  <c r="X237" i="18"/>
  <c r="W237" i="18"/>
  <c r="V237" i="18"/>
  <c r="U237" i="18"/>
  <c r="T237" i="18"/>
  <c r="S237" i="18"/>
  <c r="Q237" i="18"/>
  <c r="O237" i="18"/>
  <c r="M237" i="18"/>
  <c r="K237" i="18"/>
  <c r="X236" i="18"/>
  <c r="W236" i="18"/>
  <c r="V236" i="18"/>
  <c r="U236" i="18"/>
  <c r="T236" i="18"/>
  <c r="S236" i="18"/>
  <c r="Q236" i="18"/>
  <c r="O236" i="18"/>
  <c r="M236" i="18"/>
  <c r="K236" i="18"/>
  <c r="X235" i="18"/>
  <c r="W235" i="18"/>
  <c r="V235" i="18"/>
  <c r="U235" i="18"/>
  <c r="T235" i="18"/>
  <c r="S235" i="18"/>
  <c r="Q235" i="18"/>
  <c r="O235" i="18"/>
  <c r="M235" i="18"/>
  <c r="K235" i="18"/>
  <c r="X234" i="18"/>
  <c r="W234" i="18"/>
  <c r="V234" i="18"/>
  <c r="U234" i="18"/>
  <c r="T234" i="18"/>
  <c r="S234" i="18"/>
  <c r="Q234" i="18"/>
  <c r="O234" i="18"/>
  <c r="M234" i="18"/>
  <c r="K234" i="18"/>
  <c r="X233" i="18"/>
  <c r="W233" i="18"/>
  <c r="V233" i="18"/>
  <c r="U233" i="18"/>
  <c r="T233" i="18"/>
  <c r="S233" i="18"/>
  <c r="Q233" i="18"/>
  <c r="O233" i="18"/>
  <c r="M233" i="18"/>
  <c r="K233" i="18"/>
  <c r="X232" i="18"/>
  <c r="W232" i="18"/>
  <c r="V232" i="18"/>
  <c r="U232" i="18"/>
  <c r="T232" i="18"/>
  <c r="S232" i="18"/>
  <c r="Q232" i="18"/>
  <c r="O232" i="18"/>
  <c r="M232" i="18"/>
  <c r="K232" i="18"/>
  <c r="X231" i="18"/>
  <c r="W231" i="18"/>
  <c r="V231" i="18"/>
  <c r="U231" i="18"/>
  <c r="T231" i="18"/>
  <c r="S231" i="18"/>
  <c r="Q231" i="18"/>
  <c r="O231" i="18"/>
  <c r="M231" i="18"/>
  <c r="K231" i="18"/>
  <c r="X230" i="18"/>
  <c r="W230" i="18"/>
  <c r="V230" i="18"/>
  <c r="U230" i="18"/>
  <c r="T230" i="18"/>
  <c r="S230" i="18"/>
  <c r="Q230" i="18"/>
  <c r="O230" i="18"/>
  <c r="M230" i="18"/>
  <c r="K230" i="18"/>
  <c r="X229" i="18"/>
  <c r="W229" i="18"/>
  <c r="V229" i="18"/>
  <c r="U229" i="18"/>
  <c r="T229" i="18"/>
  <c r="S229" i="18"/>
  <c r="Q229" i="18"/>
  <c r="O229" i="18"/>
  <c r="M229" i="18"/>
  <c r="K229" i="18"/>
  <c r="X228" i="18"/>
  <c r="W228" i="18"/>
  <c r="V228" i="18"/>
  <c r="U228" i="18"/>
  <c r="T228" i="18"/>
  <c r="S228" i="18"/>
  <c r="Q228" i="18"/>
  <c r="O228" i="18"/>
  <c r="M228" i="18"/>
  <c r="K228" i="18"/>
  <c r="X227" i="18"/>
  <c r="W227" i="18"/>
  <c r="V227" i="18"/>
  <c r="U227" i="18"/>
  <c r="T227" i="18"/>
  <c r="S227" i="18"/>
  <c r="Q227" i="18"/>
  <c r="O227" i="18"/>
  <c r="M227" i="18"/>
  <c r="K227" i="18"/>
  <c r="X226" i="18"/>
  <c r="W226" i="18"/>
  <c r="V226" i="18"/>
  <c r="U226" i="18"/>
  <c r="T226" i="18"/>
  <c r="S226" i="18"/>
  <c r="Q226" i="18"/>
  <c r="O226" i="18"/>
  <c r="M226" i="18"/>
  <c r="K226" i="18"/>
  <c r="X225" i="18"/>
  <c r="W225" i="18"/>
  <c r="V225" i="18"/>
  <c r="U225" i="18"/>
  <c r="T225" i="18"/>
  <c r="S225" i="18"/>
  <c r="Q225" i="18"/>
  <c r="O225" i="18"/>
  <c r="M225" i="18"/>
  <c r="K225" i="18"/>
  <c r="X224" i="18"/>
  <c r="W224" i="18"/>
  <c r="V224" i="18"/>
  <c r="U224" i="18"/>
  <c r="T224" i="18"/>
  <c r="S224" i="18"/>
  <c r="Q224" i="18"/>
  <c r="O224" i="18"/>
  <c r="M224" i="18"/>
  <c r="K224" i="18"/>
  <c r="X223" i="18"/>
  <c r="W223" i="18"/>
  <c r="V223" i="18"/>
  <c r="U223" i="18"/>
  <c r="T223" i="18"/>
  <c r="S223" i="18"/>
  <c r="Q223" i="18"/>
  <c r="O223" i="18"/>
  <c r="M223" i="18"/>
  <c r="K223" i="18"/>
  <c r="X222" i="18"/>
  <c r="W222" i="18"/>
  <c r="V222" i="18"/>
  <c r="U222" i="18"/>
  <c r="T222" i="18"/>
  <c r="S222" i="18"/>
  <c r="Q222" i="18"/>
  <c r="O222" i="18"/>
  <c r="M222" i="18"/>
  <c r="K222" i="18"/>
  <c r="X221" i="18"/>
  <c r="W221" i="18"/>
  <c r="V221" i="18"/>
  <c r="U221" i="18"/>
  <c r="T221" i="18"/>
  <c r="S221" i="18"/>
  <c r="Q221" i="18"/>
  <c r="O221" i="18"/>
  <c r="M221" i="18"/>
  <c r="K221" i="18"/>
  <c r="X220" i="18"/>
  <c r="W220" i="18"/>
  <c r="V220" i="18"/>
  <c r="U220" i="18"/>
  <c r="T220" i="18"/>
  <c r="S220" i="18"/>
  <c r="Q220" i="18"/>
  <c r="O220" i="18"/>
  <c r="M220" i="18"/>
  <c r="K220" i="18"/>
  <c r="X219" i="18"/>
  <c r="W219" i="18"/>
  <c r="V219" i="18"/>
  <c r="U219" i="18"/>
  <c r="T219" i="18"/>
  <c r="S219" i="18"/>
  <c r="Q219" i="18"/>
  <c r="O219" i="18"/>
  <c r="M219" i="18"/>
  <c r="K219" i="18"/>
  <c r="X218" i="18"/>
  <c r="W218" i="18"/>
  <c r="V218" i="18"/>
  <c r="U218" i="18"/>
  <c r="T218" i="18"/>
  <c r="S218" i="18"/>
  <c r="Q218" i="18"/>
  <c r="O218" i="18"/>
  <c r="M218" i="18"/>
  <c r="K218" i="18"/>
  <c r="X217" i="18"/>
  <c r="W217" i="18"/>
  <c r="V217" i="18"/>
  <c r="U217" i="18"/>
  <c r="T217" i="18"/>
  <c r="S217" i="18"/>
  <c r="Q217" i="18"/>
  <c r="O217" i="18"/>
  <c r="M217" i="18"/>
  <c r="K217" i="18"/>
  <c r="X216" i="18"/>
  <c r="W216" i="18"/>
  <c r="V216" i="18"/>
  <c r="U216" i="18"/>
  <c r="T216" i="18"/>
  <c r="S216" i="18"/>
  <c r="Q216" i="18"/>
  <c r="O216" i="18"/>
  <c r="M216" i="18"/>
  <c r="K216" i="18"/>
  <c r="X215" i="18"/>
  <c r="W215" i="18"/>
  <c r="V215" i="18"/>
  <c r="U215" i="18"/>
  <c r="T215" i="18"/>
  <c r="S215" i="18"/>
  <c r="Q215" i="18"/>
  <c r="O215" i="18"/>
  <c r="M215" i="18"/>
  <c r="K215" i="18"/>
  <c r="X214" i="18"/>
  <c r="W214" i="18"/>
  <c r="V214" i="18"/>
  <c r="U214" i="18"/>
  <c r="T214" i="18"/>
  <c r="S214" i="18"/>
  <c r="Q214" i="18"/>
  <c r="O214" i="18"/>
  <c r="M214" i="18"/>
  <c r="K214" i="18"/>
  <c r="X213" i="18"/>
  <c r="W213" i="18"/>
  <c r="V213" i="18"/>
  <c r="U213" i="18"/>
  <c r="T213" i="18"/>
  <c r="S213" i="18"/>
  <c r="Q213" i="18"/>
  <c r="O213" i="18"/>
  <c r="M213" i="18"/>
  <c r="K213" i="18"/>
  <c r="X212" i="18"/>
  <c r="W212" i="18"/>
  <c r="V212" i="18"/>
  <c r="U212" i="18"/>
  <c r="T212" i="18"/>
  <c r="S212" i="18"/>
  <c r="Q212" i="18"/>
  <c r="O212" i="18"/>
  <c r="M212" i="18"/>
  <c r="K212" i="18"/>
  <c r="X211" i="18"/>
  <c r="W211" i="18"/>
  <c r="V211" i="18"/>
  <c r="U211" i="18"/>
  <c r="T211" i="18"/>
  <c r="S211" i="18"/>
  <c r="Q211" i="18"/>
  <c r="O211" i="18"/>
  <c r="M211" i="18"/>
  <c r="K211" i="18"/>
  <c r="X210" i="18"/>
  <c r="W210" i="18"/>
  <c r="V210" i="18"/>
  <c r="U210" i="18"/>
  <c r="T210" i="18"/>
  <c r="S210" i="18"/>
  <c r="Q210" i="18"/>
  <c r="O210" i="18"/>
  <c r="M210" i="18"/>
  <c r="K210" i="18"/>
  <c r="X209" i="18"/>
  <c r="W209" i="18"/>
  <c r="V209" i="18"/>
  <c r="U209" i="18"/>
  <c r="T209" i="18"/>
  <c r="S209" i="18"/>
  <c r="Q209" i="18"/>
  <c r="O209" i="18"/>
  <c r="M209" i="18"/>
  <c r="K209" i="18"/>
  <c r="X208" i="18"/>
  <c r="W208" i="18"/>
  <c r="V208" i="18"/>
  <c r="U208" i="18"/>
  <c r="T208" i="18"/>
  <c r="S208" i="18"/>
  <c r="Q208" i="18"/>
  <c r="O208" i="18"/>
  <c r="M208" i="18"/>
  <c r="K208" i="18"/>
  <c r="X207" i="18"/>
  <c r="W207" i="18"/>
  <c r="V207" i="18"/>
  <c r="U207" i="18"/>
  <c r="T207" i="18"/>
  <c r="S207" i="18"/>
  <c r="Q207" i="18"/>
  <c r="O207" i="18"/>
  <c r="M207" i="18"/>
  <c r="K207" i="18"/>
  <c r="X206" i="18"/>
  <c r="W206" i="18"/>
  <c r="V206" i="18"/>
  <c r="U206" i="18"/>
  <c r="T206" i="18"/>
  <c r="S206" i="18"/>
  <c r="Q206" i="18"/>
  <c r="O206" i="18"/>
  <c r="M206" i="18"/>
  <c r="K206" i="18"/>
  <c r="X205" i="18"/>
  <c r="W205" i="18"/>
  <c r="V205" i="18"/>
  <c r="U205" i="18"/>
  <c r="T205" i="18"/>
  <c r="S205" i="18"/>
  <c r="Q205" i="18"/>
  <c r="O205" i="18"/>
  <c r="M205" i="18"/>
  <c r="K205" i="18"/>
  <c r="X204" i="18"/>
  <c r="W204" i="18"/>
  <c r="V204" i="18"/>
  <c r="U204" i="18"/>
  <c r="T204" i="18"/>
  <c r="S204" i="18"/>
  <c r="Q204" i="18"/>
  <c r="O204" i="18"/>
  <c r="M204" i="18"/>
  <c r="K204" i="18"/>
  <c r="X203" i="18"/>
  <c r="W203" i="18"/>
  <c r="V203" i="18"/>
  <c r="U203" i="18"/>
  <c r="T203" i="18"/>
  <c r="S203" i="18"/>
  <c r="Q203" i="18"/>
  <c r="O203" i="18"/>
  <c r="M203" i="18"/>
  <c r="K203" i="18"/>
  <c r="X202" i="18"/>
  <c r="W202" i="18"/>
  <c r="V202" i="18"/>
  <c r="U202" i="18"/>
  <c r="T202" i="18"/>
  <c r="S202" i="18"/>
  <c r="Q202" i="18"/>
  <c r="O202" i="18"/>
  <c r="M202" i="18"/>
  <c r="K202" i="18"/>
  <c r="X201" i="18"/>
  <c r="W201" i="18"/>
  <c r="V201" i="18"/>
  <c r="U201" i="18"/>
  <c r="T201" i="18"/>
  <c r="S201" i="18"/>
  <c r="Q201" i="18"/>
  <c r="O201" i="18"/>
  <c r="M201" i="18"/>
  <c r="K201" i="18"/>
  <c r="X200" i="18"/>
  <c r="W200" i="18"/>
  <c r="V200" i="18"/>
  <c r="U200" i="18"/>
  <c r="T200" i="18"/>
  <c r="S200" i="18"/>
  <c r="Q200" i="18"/>
  <c r="O200" i="18"/>
  <c r="M200" i="18"/>
  <c r="K200" i="18"/>
  <c r="X199" i="18"/>
  <c r="W199" i="18"/>
  <c r="V199" i="18"/>
  <c r="U199" i="18"/>
  <c r="T199" i="18"/>
  <c r="S199" i="18"/>
  <c r="Q199" i="18"/>
  <c r="O199" i="18"/>
  <c r="M199" i="18"/>
  <c r="K199" i="18"/>
  <c r="X198" i="18"/>
  <c r="W198" i="18"/>
  <c r="V198" i="18"/>
  <c r="U198" i="18"/>
  <c r="T198" i="18"/>
  <c r="S198" i="18"/>
  <c r="Q198" i="18"/>
  <c r="O198" i="18"/>
  <c r="M198" i="18"/>
  <c r="K198" i="18"/>
  <c r="X197" i="18"/>
  <c r="W197" i="18"/>
  <c r="V197" i="18"/>
  <c r="U197" i="18"/>
  <c r="T197" i="18"/>
  <c r="S197" i="18"/>
  <c r="Q197" i="18"/>
  <c r="O197" i="18"/>
  <c r="M197" i="18"/>
  <c r="K197" i="18"/>
  <c r="X196" i="18"/>
  <c r="W196" i="18"/>
  <c r="V196" i="18"/>
  <c r="U196" i="18"/>
  <c r="T196" i="18"/>
  <c r="S196" i="18"/>
  <c r="Q196" i="18"/>
  <c r="O196" i="18"/>
  <c r="M196" i="18"/>
  <c r="K196" i="18"/>
  <c r="X195" i="18"/>
  <c r="W195" i="18"/>
  <c r="V195" i="18"/>
  <c r="U195" i="18"/>
  <c r="T195" i="18"/>
  <c r="S195" i="18"/>
  <c r="Q195" i="18"/>
  <c r="O195" i="18"/>
  <c r="M195" i="18"/>
  <c r="K195" i="18"/>
  <c r="X194" i="18"/>
  <c r="W194" i="18"/>
  <c r="V194" i="18"/>
  <c r="U194" i="18"/>
  <c r="T194" i="18"/>
  <c r="S194" i="18"/>
  <c r="Q194" i="18"/>
  <c r="O194" i="18"/>
  <c r="M194" i="18"/>
  <c r="K194" i="18"/>
  <c r="X193" i="18"/>
  <c r="W193" i="18"/>
  <c r="V193" i="18"/>
  <c r="U193" i="18"/>
  <c r="T193" i="18"/>
  <c r="S193" i="18"/>
  <c r="Q193" i="18"/>
  <c r="O193" i="18"/>
  <c r="M193" i="18"/>
  <c r="K193" i="18"/>
  <c r="X192" i="18"/>
  <c r="W192" i="18"/>
  <c r="V192" i="18"/>
  <c r="U192" i="18"/>
  <c r="T192" i="18"/>
  <c r="S192" i="18"/>
  <c r="Q192" i="18"/>
  <c r="O192" i="18"/>
  <c r="M192" i="18"/>
  <c r="K192" i="18"/>
  <c r="X191" i="18"/>
  <c r="W191" i="18"/>
  <c r="V191" i="18"/>
  <c r="U191" i="18"/>
  <c r="T191" i="18"/>
  <c r="S191" i="18"/>
  <c r="Q191" i="18"/>
  <c r="O191" i="18"/>
  <c r="M191" i="18"/>
  <c r="K191" i="18"/>
  <c r="X190" i="18"/>
  <c r="W190" i="18"/>
  <c r="V190" i="18"/>
  <c r="U190" i="18"/>
  <c r="T190" i="18"/>
  <c r="S190" i="18"/>
  <c r="Q190" i="18"/>
  <c r="O190" i="18"/>
  <c r="M190" i="18"/>
  <c r="K190" i="18"/>
  <c r="X189" i="18"/>
  <c r="W189" i="18"/>
  <c r="V189" i="18"/>
  <c r="U189" i="18"/>
  <c r="T189" i="18"/>
  <c r="S189" i="18"/>
  <c r="Q189" i="18"/>
  <c r="O189" i="18"/>
  <c r="M189" i="18"/>
  <c r="K189" i="18"/>
  <c r="X188" i="18"/>
  <c r="W188" i="18"/>
  <c r="V188" i="18"/>
  <c r="U188" i="18"/>
  <c r="T188" i="18"/>
  <c r="S188" i="18"/>
  <c r="Q188" i="18"/>
  <c r="O188" i="18"/>
  <c r="M188" i="18"/>
  <c r="K188" i="18"/>
  <c r="X187" i="18"/>
  <c r="W187" i="18"/>
  <c r="V187" i="18"/>
  <c r="U187" i="18"/>
  <c r="T187" i="18"/>
  <c r="S187" i="18"/>
  <c r="Q187" i="18"/>
  <c r="O187" i="18"/>
  <c r="M187" i="18"/>
  <c r="K187" i="18"/>
  <c r="X186" i="18"/>
  <c r="W186" i="18"/>
  <c r="V186" i="18"/>
  <c r="U186" i="18"/>
  <c r="T186" i="18"/>
  <c r="S186" i="18"/>
  <c r="Q186" i="18"/>
  <c r="O186" i="18"/>
  <c r="M186" i="18"/>
  <c r="K186" i="18"/>
  <c r="X185" i="18"/>
  <c r="W185" i="18"/>
  <c r="V185" i="18"/>
  <c r="U185" i="18"/>
  <c r="T185" i="18"/>
  <c r="S185" i="18"/>
  <c r="Q185" i="18"/>
  <c r="O185" i="18"/>
  <c r="M185" i="18"/>
  <c r="K185" i="18"/>
  <c r="X184" i="18"/>
  <c r="W184" i="18"/>
  <c r="V184" i="18"/>
  <c r="U184" i="18"/>
  <c r="T184" i="18"/>
  <c r="S184" i="18"/>
  <c r="Q184" i="18"/>
  <c r="O184" i="18"/>
  <c r="M184" i="18"/>
  <c r="K184" i="18"/>
  <c r="X183" i="18"/>
  <c r="W183" i="18"/>
  <c r="V183" i="18"/>
  <c r="U183" i="18"/>
  <c r="T183" i="18"/>
  <c r="S183" i="18"/>
  <c r="Q183" i="18"/>
  <c r="O183" i="18"/>
  <c r="M183" i="18"/>
  <c r="K183" i="18"/>
  <c r="X182" i="18"/>
  <c r="W182" i="18"/>
  <c r="V182" i="18"/>
  <c r="U182" i="18"/>
  <c r="T182" i="18"/>
  <c r="S182" i="18"/>
  <c r="Q182" i="18"/>
  <c r="O182" i="18"/>
  <c r="M182" i="18"/>
  <c r="K182" i="18"/>
  <c r="X181" i="18"/>
  <c r="W181" i="18"/>
  <c r="V181" i="18"/>
  <c r="U181" i="18"/>
  <c r="T181" i="18"/>
  <c r="S181" i="18"/>
  <c r="Q181" i="18"/>
  <c r="O181" i="18"/>
  <c r="M181" i="18"/>
  <c r="K181" i="18"/>
  <c r="X180" i="18"/>
  <c r="W180" i="18"/>
  <c r="V180" i="18"/>
  <c r="U180" i="18"/>
  <c r="T180" i="18"/>
  <c r="S180" i="18"/>
  <c r="Q180" i="18"/>
  <c r="O180" i="18"/>
  <c r="M180" i="18"/>
  <c r="K180" i="18"/>
  <c r="X179" i="18"/>
  <c r="W179" i="18"/>
  <c r="V179" i="18"/>
  <c r="U179" i="18"/>
  <c r="T179" i="18"/>
  <c r="S179" i="18"/>
  <c r="Q179" i="18"/>
  <c r="O179" i="18"/>
  <c r="M179" i="18"/>
  <c r="K179" i="18"/>
  <c r="X178" i="18"/>
  <c r="W178" i="18"/>
  <c r="V178" i="18"/>
  <c r="U178" i="18"/>
  <c r="T178" i="18"/>
  <c r="S178" i="18"/>
  <c r="Q178" i="18"/>
  <c r="O178" i="18"/>
  <c r="M178" i="18"/>
  <c r="K178" i="18"/>
  <c r="X177" i="18"/>
  <c r="W177" i="18"/>
  <c r="V177" i="18"/>
  <c r="U177" i="18"/>
  <c r="T177" i="18"/>
  <c r="S177" i="18"/>
  <c r="Q177" i="18"/>
  <c r="O177" i="18"/>
  <c r="M177" i="18"/>
  <c r="K177" i="18"/>
  <c r="X176" i="18"/>
  <c r="W176" i="18"/>
  <c r="V176" i="18"/>
  <c r="U176" i="18"/>
  <c r="T176" i="18"/>
  <c r="S176" i="18"/>
  <c r="Q176" i="18"/>
  <c r="O176" i="18"/>
  <c r="M176" i="18"/>
  <c r="K176" i="18"/>
  <c r="X175" i="18"/>
  <c r="W175" i="18"/>
  <c r="V175" i="18"/>
  <c r="U175" i="18"/>
  <c r="T175" i="18"/>
  <c r="S175" i="18"/>
  <c r="Q175" i="18"/>
  <c r="O175" i="18"/>
  <c r="M175" i="18"/>
  <c r="K175" i="18"/>
  <c r="X174" i="18"/>
  <c r="W174" i="18"/>
  <c r="V174" i="18"/>
  <c r="U174" i="18"/>
  <c r="T174" i="18"/>
  <c r="S174" i="18"/>
  <c r="Q174" i="18"/>
  <c r="O174" i="18"/>
  <c r="M174" i="18"/>
  <c r="K174" i="18"/>
  <c r="X173" i="18"/>
  <c r="W173" i="18"/>
  <c r="V173" i="18"/>
  <c r="U173" i="18"/>
  <c r="T173" i="18"/>
  <c r="S173" i="18"/>
  <c r="Q173" i="18"/>
  <c r="O173" i="18"/>
  <c r="M173" i="18"/>
  <c r="K173" i="18"/>
  <c r="X172" i="18"/>
  <c r="W172" i="18"/>
  <c r="V172" i="18"/>
  <c r="U172" i="18"/>
  <c r="T172" i="18"/>
  <c r="S172" i="18"/>
  <c r="Q172" i="18"/>
  <c r="O172" i="18"/>
  <c r="M172" i="18"/>
  <c r="K172" i="18"/>
  <c r="X171" i="18"/>
  <c r="W171" i="18"/>
  <c r="V171" i="18"/>
  <c r="U171" i="18"/>
  <c r="T171" i="18"/>
  <c r="S171" i="18"/>
  <c r="Q171" i="18"/>
  <c r="O171" i="18"/>
  <c r="M171" i="18"/>
  <c r="K171" i="18"/>
  <c r="X170" i="18"/>
  <c r="W170" i="18"/>
  <c r="V170" i="18"/>
  <c r="U170" i="18"/>
  <c r="T170" i="18"/>
  <c r="S170" i="18"/>
  <c r="Q170" i="18"/>
  <c r="O170" i="18"/>
  <c r="M170" i="18"/>
  <c r="K170" i="18"/>
  <c r="X169" i="18"/>
  <c r="W169" i="18"/>
  <c r="V169" i="18"/>
  <c r="U169" i="18"/>
  <c r="T169" i="18"/>
  <c r="S169" i="18"/>
  <c r="Q169" i="18"/>
  <c r="O169" i="18"/>
  <c r="M169" i="18"/>
  <c r="K169" i="18"/>
  <c r="X168" i="18"/>
  <c r="W168" i="18"/>
  <c r="V168" i="18"/>
  <c r="U168" i="18"/>
  <c r="T168" i="18"/>
  <c r="S168" i="18"/>
  <c r="Q168" i="18"/>
  <c r="O168" i="18"/>
  <c r="M168" i="18"/>
  <c r="K168" i="18"/>
  <c r="X167" i="18"/>
  <c r="W167" i="18"/>
  <c r="V167" i="18"/>
  <c r="U167" i="18"/>
  <c r="T167" i="18"/>
  <c r="S167" i="18"/>
  <c r="Q167" i="18"/>
  <c r="O167" i="18"/>
  <c r="M167" i="18"/>
  <c r="K167" i="18"/>
  <c r="X166" i="18"/>
  <c r="W166" i="18"/>
  <c r="V166" i="18"/>
  <c r="U166" i="18"/>
  <c r="T166" i="18"/>
  <c r="S166" i="18"/>
  <c r="Q166" i="18"/>
  <c r="O166" i="18"/>
  <c r="M166" i="18"/>
  <c r="K166" i="18"/>
  <c r="X165" i="18"/>
  <c r="W165" i="18"/>
  <c r="V165" i="18"/>
  <c r="U165" i="18"/>
  <c r="T165" i="18"/>
  <c r="S165" i="18"/>
  <c r="Q165" i="18"/>
  <c r="O165" i="18"/>
  <c r="M165" i="18"/>
  <c r="K165" i="18"/>
  <c r="X164" i="18"/>
  <c r="W164" i="18"/>
  <c r="V164" i="18"/>
  <c r="U164" i="18"/>
  <c r="T164" i="18"/>
  <c r="S164" i="18"/>
  <c r="Q164" i="18"/>
  <c r="O164" i="18"/>
  <c r="M164" i="18"/>
  <c r="K164" i="18"/>
  <c r="X163" i="18"/>
  <c r="W163" i="18"/>
  <c r="V163" i="18"/>
  <c r="U163" i="18"/>
  <c r="T163" i="18"/>
  <c r="S163" i="18"/>
  <c r="Q163" i="18"/>
  <c r="O163" i="18"/>
  <c r="M163" i="18"/>
  <c r="K163" i="18"/>
  <c r="X162" i="18"/>
  <c r="W162" i="18"/>
  <c r="V162" i="18"/>
  <c r="U162" i="18"/>
  <c r="T162" i="18"/>
  <c r="S162" i="18"/>
  <c r="Q162" i="18"/>
  <c r="O162" i="18"/>
  <c r="M162" i="18"/>
  <c r="K162" i="18"/>
  <c r="X161" i="18"/>
  <c r="W161" i="18"/>
  <c r="V161" i="18"/>
  <c r="U161" i="18"/>
  <c r="T161" i="18"/>
  <c r="S161" i="18"/>
  <c r="Q161" i="18"/>
  <c r="O161" i="18"/>
  <c r="M161" i="18"/>
  <c r="K161" i="18"/>
  <c r="X160" i="18"/>
  <c r="W160" i="18"/>
  <c r="V160" i="18"/>
  <c r="U160" i="18"/>
  <c r="T160" i="18"/>
  <c r="S160" i="18"/>
  <c r="Q160" i="18"/>
  <c r="O160" i="18"/>
  <c r="M160" i="18"/>
  <c r="K160" i="18"/>
  <c r="X159" i="18"/>
  <c r="W159" i="18"/>
  <c r="V159" i="18"/>
  <c r="U159" i="18"/>
  <c r="T159" i="18"/>
  <c r="S159" i="18"/>
  <c r="Q159" i="18"/>
  <c r="O159" i="18"/>
  <c r="M159" i="18"/>
  <c r="K159" i="18"/>
  <c r="X158" i="18"/>
  <c r="W158" i="18"/>
  <c r="V158" i="18"/>
  <c r="U158" i="18"/>
  <c r="T158" i="18"/>
  <c r="S158" i="18"/>
  <c r="Q158" i="18"/>
  <c r="O158" i="18"/>
  <c r="M158" i="18"/>
  <c r="K158" i="18"/>
  <c r="X157" i="18"/>
  <c r="W157" i="18"/>
  <c r="V157" i="18"/>
  <c r="U157" i="18"/>
  <c r="T157" i="18"/>
  <c r="S157" i="18"/>
  <c r="Q157" i="18"/>
  <c r="O157" i="18"/>
  <c r="M157" i="18"/>
  <c r="K157" i="18"/>
  <c r="X156" i="18"/>
  <c r="W156" i="18"/>
  <c r="V156" i="18"/>
  <c r="U156" i="18"/>
  <c r="T156" i="18"/>
  <c r="S156" i="18"/>
  <c r="Q156" i="18"/>
  <c r="O156" i="18"/>
  <c r="M156" i="18"/>
  <c r="K156" i="18"/>
  <c r="X155" i="18"/>
  <c r="W155" i="18"/>
  <c r="V155" i="18"/>
  <c r="U155" i="18"/>
  <c r="T155" i="18"/>
  <c r="S155" i="18"/>
  <c r="Q155" i="18"/>
  <c r="O155" i="18"/>
  <c r="M155" i="18"/>
  <c r="K155" i="18"/>
  <c r="X154" i="18"/>
  <c r="W154" i="18"/>
  <c r="V154" i="18"/>
  <c r="U154" i="18"/>
  <c r="T154" i="18"/>
  <c r="S154" i="18"/>
  <c r="Q154" i="18"/>
  <c r="O154" i="18"/>
  <c r="M154" i="18"/>
  <c r="K154" i="18"/>
  <c r="X153" i="18"/>
  <c r="W153" i="18"/>
  <c r="V153" i="18"/>
  <c r="U153" i="18"/>
  <c r="T153" i="18"/>
  <c r="S153" i="18"/>
  <c r="Q153" i="18"/>
  <c r="O153" i="18"/>
  <c r="M153" i="18"/>
  <c r="K153" i="18"/>
  <c r="X152" i="18"/>
  <c r="W152" i="18"/>
  <c r="V152" i="18"/>
  <c r="U152" i="18"/>
  <c r="T152" i="18"/>
  <c r="S152" i="18"/>
  <c r="Q152" i="18"/>
  <c r="O152" i="18"/>
  <c r="M152" i="18"/>
  <c r="K152" i="18"/>
  <c r="X151" i="18"/>
  <c r="W151" i="18"/>
  <c r="V151" i="18"/>
  <c r="U151" i="18"/>
  <c r="T151" i="18"/>
  <c r="S151" i="18"/>
  <c r="Q151" i="18"/>
  <c r="O151" i="18"/>
  <c r="M151" i="18"/>
  <c r="K151" i="18"/>
  <c r="X150" i="18"/>
  <c r="W150" i="18"/>
  <c r="V150" i="18"/>
  <c r="U150" i="18"/>
  <c r="T150" i="18"/>
  <c r="S150" i="18"/>
  <c r="Q150" i="18"/>
  <c r="O150" i="18"/>
  <c r="M150" i="18"/>
  <c r="K150" i="18"/>
  <c r="X149" i="18"/>
  <c r="W149" i="18"/>
  <c r="V149" i="18"/>
  <c r="U149" i="18"/>
  <c r="T149" i="18"/>
  <c r="S149" i="18"/>
  <c r="Q149" i="18"/>
  <c r="O149" i="18"/>
  <c r="M149" i="18"/>
  <c r="K149" i="18"/>
  <c r="X148" i="18"/>
  <c r="W148" i="18"/>
  <c r="V148" i="18"/>
  <c r="U148" i="18"/>
  <c r="T148" i="18"/>
  <c r="S148" i="18"/>
  <c r="Q148" i="18"/>
  <c r="O148" i="18"/>
  <c r="M148" i="18"/>
  <c r="K148" i="18"/>
  <c r="X147" i="18"/>
  <c r="W147" i="18"/>
  <c r="V147" i="18"/>
  <c r="U147" i="18"/>
  <c r="T147" i="18"/>
  <c r="S147" i="18"/>
  <c r="Q147" i="18"/>
  <c r="O147" i="18"/>
  <c r="M147" i="18"/>
  <c r="K147" i="18"/>
  <c r="X146" i="18"/>
  <c r="W146" i="18"/>
  <c r="V146" i="18"/>
  <c r="U146" i="18"/>
  <c r="T146" i="18"/>
  <c r="S146" i="18"/>
  <c r="Q146" i="18"/>
  <c r="O146" i="18"/>
  <c r="M146" i="18"/>
  <c r="K146" i="18"/>
  <c r="X145" i="18"/>
  <c r="W145" i="18"/>
  <c r="V145" i="18"/>
  <c r="U145" i="18"/>
  <c r="T145" i="18"/>
  <c r="S145" i="18"/>
  <c r="Q145" i="18"/>
  <c r="O145" i="18"/>
  <c r="M145" i="18"/>
  <c r="K145" i="18"/>
  <c r="X144" i="18"/>
  <c r="W144" i="18"/>
  <c r="V144" i="18"/>
  <c r="U144" i="18"/>
  <c r="T144" i="18"/>
  <c r="S144" i="18"/>
  <c r="Q144" i="18"/>
  <c r="O144" i="18"/>
  <c r="M144" i="18"/>
  <c r="K144" i="18"/>
  <c r="X143" i="18"/>
  <c r="W143" i="18"/>
  <c r="V143" i="18"/>
  <c r="U143" i="18"/>
  <c r="T143" i="18"/>
  <c r="S143" i="18"/>
  <c r="Q143" i="18"/>
  <c r="O143" i="18"/>
  <c r="M143" i="18"/>
  <c r="K143" i="18"/>
  <c r="X142" i="18"/>
  <c r="W142" i="18"/>
  <c r="V142" i="18"/>
  <c r="U142" i="18"/>
  <c r="T142" i="18"/>
  <c r="S142" i="18"/>
  <c r="Q142" i="18"/>
  <c r="O142" i="18"/>
  <c r="M142" i="18"/>
  <c r="K142" i="18"/>
  <c r="X141" i="18"/>
  <c r="W141" i="18"/>
  <c r="V141" i="18"/>
  <c r="U141" i="18"/>
  <c r="T141" i="18"/>
  <c r="S141" i="18"/>
  <c r="Q141" i="18"/>
  <c r="O141" i="18"/>
  <c r="M141" i="18"/>
  <c r="K141" i="18"/>
  <c r="X140" i="18"/>
  <c r="W140" i="18"/>
  <c r="V140" i="18"/>
  <c r="U140" i="18"/>
  <c r="T140" i="18"/>
  <c r="S140" i="18"/>
  <c r="Q140" i="18"/>
  <c r="O140" i="18"/>
  <c r="M140" i="18"/>
  <c r="K140" i="18"/>
  <c r="X139" i="18"/>
  <c r="W139" i="18"/>
  <c r="V139" i="18"/>
  <c r="U139" i="18"/>
  <c r="T139" i="18"/>
  <c r="S139" i="18"/>
  <c r="Q139" i="18"/>
  <c r="O139" i="18"/>
  <c r="M139" i="18"/>
  <c r="K139" i="18"/>
  <c r="X138" i="18"/>
  <c r="W138" i="18"/>
  <c r="V138" i="18"/>
  <c r="U138" i="18"/>
  <c r="T138" i="18"/>
  <c r="S138" i="18"/>
  <c r="Q138" i="18"/>
  <c r="O138" i="18"/>
  <c r="M138" i="18"/>
  <c r="K138" i="18"/>
  <c r="X137" i="18"/>
  <c r="W137" i="18"/>
  <c r="V137" i="18"/>
  <c r="U137" i="18"/>
  <c r="T137" i="18"/>
  <c r="S137" i="18"/>
  <c r="Q137" i="18"/>
  <c r="O137" i="18"/>
  <c r="M137" i="18"/>
  <c r="K137" i="18"/>
  <c r="X136" i="18"/>
  <c r="W136" i="18"/>
  <c r="V136" i="18"/>
  <c r="U136" i="18"/>
  <c r="T136" i="18"/>
  <c r="S136" i="18"/>
  <c r="Q136" i="18"/>
  <c r="O136" i="18"/>
  <c r="M136" i="18"/>
  <c r="K136" i="18"/>
  <c r="X135" i="18"/>
  <c r="W135" i="18"/>
  <c r="V135" i="18"/>
  <c r="U135" i="18"/>
  <c r="T135" i="18"/>
  <c r="S135" i="18"/>
  <c r="Q135" i="18"/>
  <c r="O135" i="18"/>
  <c r="M135" i="18"/>
  <c r="K135" i="18"/>
  <c r="X134" i="18"/>
  <c r="W134" i="18"/>
  <c r="V134" i="18"/>
  <c r="U134" i="18"/>
  <c r="T134" i="18"/>
  <c r="S134" i="18"/>
  <c r="Q134" i="18"/>
  <c r="O134" i="18"/>
  <c r="M134" i="18"/>
  <c r="K134" i="18"/>
  <c r="X133" i="18"/>
  <c r="W133" i="18"/>
  <c r="V133" i="18"/>
  <c r="U133" i="18"/>
  <c r="T133" i="18"/>
  <c r="S133" i="18"/>
  <c r="Q133" i="18"/>
  <c r="O133" i="18"/>
  <c r="M133" i="18"/>
  <c r="K133" i="18"/>
  <c r="X132" i="18"/>
  <c r="W132" i="18"/>
  <c r="V132" i="18"/>
  <c r="U132" i="18"/>
  <c r="T132" i="18"/>
  <c r="S132" i="18"/>
  <c r="Q132" i="18"/>
  <c r="O132" i="18"/>
  <c r="M132" i="18"/>
  <c r="K132" i="18"/>
  <c r="X131" i="18"/>
  <c r="W131" i="18"/>
  <c r="V131" i="18"/>
  <c r="U131" i="18"/>
  <c r="T131" i="18"/>
  <c r="S131" i="18"/>
  <c r="Q131" i="18"/>
  <c r="O131" i="18"/>
  <c r="M131" i="18"/>
  <c r="K131" i="18"/>
  <c r="X130" i="18"/>
  <c r="W130" i="18"/>
  <c r="V130" i="18"/>
  <c r="U130" i="18"/>
  <c r="T130" i="18"/>
  <c r="S130" i="18"/>
  <c r="Q130" i="18"/>
  <c r="O130" i="18"/>
  <c r="M130" i="18"/>
  <c r="K130" i="18"/>
  <c r="X129" i="18"/>
  <c r="W129" i="18"/>
  <c r="V129" i="18"/>
  <c r="U129" i="18"/>
  <c r="T129" i="18"/>
  <c r="S129" i="18"/>
  <c r="Q129" i="18"/>
  <c r="O129" i="18"/>
  <c r="M129" i="18"/>
  <c r="K129" i="18"/>
  <c r="X128" i="18"/>
  <c r="W128" i="18"/>
  <c r="V128" i="18"/>
  <c r="U128" i="18"/>
  <c r="T128" i="18"/>
  <c r="S128" i="18"/>
  <c r="Q128" i="18"/>
  <c r="O128" i="18"/>
  <c r="M128" i="18"/>
  <c r="K128" i="18"/>
  <c r="X127" i="18"/>
  <c r="W127" i="18"/>
  <c r="V127" i="18"/>
  <c r="U127" i="18"/>
  <c r="T127" i="18"/>
  <c r="S127" i="18"/>
  <c r="Q127" i="18"/>
  <c r="O127" i="18"/>
  <c r="M127" i="18"/>
  <c r="K127" i="18"/>
  <c r="X126" i="18"/>
  <c r="W126" i="18"/>
  <c r="V126" i="18"/>
  <c r="U126" i="18"/>
  <c r="T126" i="18"/>
  <c r="S126" i="18"/>
  <c r="Q126" i="18"/>
  <c r="O126" i="18"/>
  <c r="M126" i="18"/>
  <c r="K126" i="18"/>
  <c r="X125" i="18"/>
  <c r="W125" i="18"/>
  <c r="V125" i="18"/>
  <c r="U125" i="18"/>
  <c r="T125" i="18"/>
  <c r="S125" i="18"/>
  <c r="Q125" i="18"/>
  <c r="O125" i="18"/>
  <c r="M125" i="18"/>
  <c r="K125" i="18"/>
  <c r="X124" i="18"/>
  <c r="W124" i="18"/>
  <c r="V124" i="18"/>
  <c r="U124" i="18"/>
  <c r="T124" i="18"/>
  <c r="S124" i="18"/>
  <c r="Q124" i="18"/>
  <c r="O124" i="18"/>
  <c r="M124" i="18"/>
  <c r="K124" i="18"/>
  <c r="X123" i="18"/>
  <c r="W123" i="18"/>
  <c r="V123" i="18"/>
  <c r="U123" i="18"/>
  <c r="T123" i="18"/>
  <c r="S123" i="18"/>
  <c r="Q123" i="18"/>
  <c r="O123" i="18"/>
  <c r="M123" i="18"/>
  <c r="K123" i="18"/>
  <c r="X122" i="18"/>
  <c r="W122" i="18"/>
  <c r="V122" i="18"/>
  <c r="U122" i="18"/>
  <c r="T122" i="18"/>
  <c r="S122" i="18"/>
  <c r="Q122" i="18"/>
  <c r="O122" i="18"/>
  <c r="M122" i="18"/>
  <c r="K122" i="18"/>
  <c r="X121" i="18"/>
  <c r="W121" i="18"/>
  <c r="V121" i="18"/>
  <c r="U121" i="18"/>
  <c r="T121" i="18"/>
  <c r="S121" i="18"/>
  <c r="Q121" i="18"/>
  <c r="O121" i="18"/>
  <c r="M121" i="18"/>
  <c r="K121" i="18"/>
  <c r="X120" i="18"/>
  <c r="W120" i="18"/>
  <c r="V120" i="18"/>
  <c r="U120" i="18"/>
  <c r="T120" i="18"/>
  <c r="S120" i="18"/>
  <c r="Q120" i="18"/>
  <c r="O120" i="18"/>
  <c r="M120" i="18"/>
  <c r="K120" i="18"/>
  <c r="X119" i="18"/>
  <c r="W119" i="18"/>
  <c r="V119" i="18"/>
  <c r="U119" i="18"/>
  <c r="T119" i="18"/>
  <c r="S119" i="18"/>
  <c r="Q119" i="18"/>
  <c r="O119" i="18"/>
  <c r="M119" i="18"/>
  <c r="K119" i="18"/>
  <c r="X118" i="18"/>
  <c r="W118" i="18"/>
  <c r="V118" i="18"/>
  <c r="U118" i="18"/>
  <c r="T118" i="18"/>
  <c r="S118" i="18"/>
  <c r="Q118" i="18"/>
  <c r="O118" i="18"/>
  <c r="M118" i="18"/>
  <c r="K118" i="18"/>
  <c r="X117" i="18"/>
  <c r="W117" i="18"/>
  <c r="V117" i="18"/>
  <c r="U117" i="18"/>
  <c r="T117" i="18"/>
  <c r="S117" i="18"/>
  <c r="Q117" i="18"/>
  <c r="O117" i="18"/>
  <c r="M117" i="18"/>
  <c r="K117" i="18"/>
  <c r="X116" i="18"/>
  <c r="W116" i="18"/>
  <c r="V116" i="18"/>
  <c r="U116" i="18"/>
  <c r="T116" i="18"/>
  <c r="S116" i="18"/>
  <c r="Q116" i="18"/>
  <c r="O116" i="18"/>
  <c r="M116" i="18"/>
  <c r="K116" i="18"/>
  <c r="X115" i="18"/>
  <c r="W115" i="18"/>
  <c r="V115" i="18"/>
  <c r="U115" i="18"/>
  <c r="T115" i="18"/>
  <c r="S115" i="18"/>
  <c r="Q115" i="18"/>
  <c r="O115" i="18"/>
  <c r="M115" i="18"/>
  <c r="K115" i="18"/>
  <c r="X114" i="18"/>
  <c r="W114" i="18"/>
  <c r="V114" i="18"/>
  <c r="U114" i="18"/>
  <c r="T114" i="18"/>
  <c r="S114" i="18"/>
  <c r="Q114" i="18"/>
  <c r="O114" i="18"/>
  <c r="M114" i="18"/>
  <c r="K114" i="18"/>
  <c r="X113" i="18"/>
  <c r="W113" i="18"/>
  <c r="V113" i="18"/>
  <c r="U113" i="18"/>
  <c r="T113" i="18"/>
  <c r="S113" i="18"/>
  <c r="Q113" i="18"/>
  <c r="O113" i="18"/>
  <c r="M113" i="18"/>
  <c r="K113" i="18"/>
  <c r="X112" i="18"/>
  <c r="W112" i="18"/>
  <c r="V112" i="18"/>
  <c r="U112" i="18"/>
  <c r="T112" i="18"/>
  <c r="S112" i="18"/>
  <c r="Q112" i="18"/>
  <c r="O112" i="18"/>
  <c r="M112" i="18"/>
  <c r="K112" i="18"/>
  <c r="X111" i="18"/>
  <c r="W111" i="18"/>
  <c r="V111" i="18"/>
  <c r="U111" i="18"/>
  <c r="T111" i="18"/>
  <c r="S111" i="18"/>
  <c r="Q111" i="18"/>
  <c r="O111" i="18"/>
  <c r="M111" i="18"/>
  <c r="K111" i="18"/>
  <c r="X110" i="18"/>
  <c r="W110" i="18"/>
  <c r="V110" i="18"/>
  <c r="U110" i="18"/>
  <c r="T110" i="18"/>
  <c r="S110" i="18"/>
  <c r="Q110" i="18"/>
  <c r="O110" i="18"/>
  <c r="M110" i="18"/>
  <c r="K110" i="18"/>
  <c r="X109" i="18"/>
  <c r="W109" i="18"/>
  <c r="V109" i="18"/>
  <c r="U109" i="18"/>
  <c r="T109" i="18"/>
  <c r="S109" i="18"/>
  <c r="Q109" i="18"/>
  <c r="O109" i="18"/>
  <c r="M109" i="18"/>
  <c r="K109" i="18"/>
  <c r="X108" i="18"/>
  <c r="W108" i="18"/>
  <c r="V108" i="18"/>
  <c r="U108" i="18"/>
  <c r="T108" i="18"/>
  <c r="S108" i="18"/>
  <c r="Q108" i="18"/>
  <c r="O108" i="18"/>
  <c r="M108" i="18"/>
  <c r="K108" i="18"/>
  <c r="X107" i="18"/>
  <c r="W107" i="18"/>
  <c r="V107" i="18"/>
  <c r="U107" i="18"/>
  <c r="T107" i="18"/>
  <c r="S107" i="18"/>
  <c r="Q107" i="18"/>
  <c r="O107" i="18"/>
  <c r="M107" i="18"/>
  <c r="K107" i="18"/>
  <c r="X106" i="18"/>
  <c r="W106" i="18"/>
  <c r="V106" i="18"/>
  <c r="U106" i="18"/>
  <c r="T106" i="18"/>
  <c r="S106" i="18"/>
  <c r="Q106" i="18"/>
  <c r="O106" i="18"/>
  <c r="M106" i="18"/>
  <c r="K106" i="18"/>
  <c r="X105" i="18"/>
  <c r="W105" i="18"/>
  <c r="V105" i="18"/>
  <c r="U105" i="18"/>
  <c r="T105" i="18"/>
  <c r="S105" i="18"/>
  <c r="Q105" i="18"/>
  <c r="O105" i="18"/>
  <c r="M105" i="18"/>
  <c r="K105" i="18"/>
  <c r="X104" i="18"/>
  <c r="W104" i="18"/>
  <c r="V104" i="18"/>
  <c r="U104" i="18"/>
  <c r="T104" i="18"/>
  <c r="S104" i="18"/>
  <c r="Q104" i="18"/>
  <c r="O104" i="18"/>
  <c r="M104" i="18"/>
  <c r="K104" i="18"/>
  <c r="X103" i="18"/>
  <c r="W103" i="18"/>
  <c r="V103" i="18"/>
  <c r="U103" i="18"/>
  <c r="T103" i="18"/>
  <c r="S103" i="18"/>
  <c r="Q103" i="18"/>
  <c r="O103" i="18"/>
  <c r="M103" i="18"/>
  <c r="K103" i="18"/>
  <c r="X102" i="18"/>
  <c r="W102" i="18"/>
  <c r="V102" i="18"/>
  <c r="U102" i="18"/>
  <c r="T102" i="18"/>
  <c r="S102" i="18"/>
  <c r="Q102" i="18"/>
  <c r="O102" i="18"/>
  <c r="M102" i="18"/>
  <c r="K102" i="18"/>
  <c r="X101" i="18"/>
  <c r="W101" i="18"/>
  <c r="V101" i="18"/>
  <c r="U101" i="18"/>
  <c r="T101" i="18"/>
  <c r="S101" i="18"/>
  <c r="Q101" i="18"/>
  <c r="O101" i="18"/>
  <c r="M101" i="18"/>
  <c r="K101" i="18"/>
  <c r="X100" i="18"/>
  <c r="W100" i="18"/>
  <c r="V100" i="18"/>
  <c r="U100" i="18"/>
  <c r="T100" i="18"/>
  <c r="S100" i="18"/>
  <c r="Q100" i="18"/>
  <c r="O100" i="18"/>
  <c r="M100" i="18"/>
  <c r="K100" i="18"/>
  <c r="X99" i="18"/>
  <c r="W99" i="18"/>
  <c r="V99" i="18"/>
  <c r="U99" i="18"/>
  <c r="T99" i="18"/>
  <c r="S99" i="18"/>
  <c r="Q99" i="18"/>
  <c r="O99" i="18"/>
  <c r="M99" i="18"/>
  <c r="K99" i="18"/>
  <c r="X98" i="18"/>
  <c r="W98" i="18"/>
  <c r="V98" i="18"/>
  <c r="U98" i="18"/>
  <c r="T98" i="18"/>
  <c r="S98" i="18"/>
  <c r="Q98" i="18"/>
  <c r="O98" i="18"/>
  <c r="M98" i="18"/>
  <c r="K98" i="18"/>
  <c r="X97" i="18"/>
  <c r="W97" i="18"/>
  <c r="V97" i="18"/>
  <c r="U97" i="18"/>
  <c r="T97" i="18"/>
  <c r="S97" i="18"/>
  <c r="Q97" i="18"/>
  <c r="O97" i="18"/>
  <c r="M97" i="18"/>
  <c r="K97" i="18"/>
  <c r="X96" i="18"/>
  <c r="W96" i="18"/>
  <c r="V96" i="18"/>
  <c r="U96" i="18"/>
  <c r="T96" i="18"/>
  <c r="S96" i="18"/>
  <c r="Q96" i="18"/>
  <c r="O96" i="18"/>
  <c r="M96" i="18"/>
  <c r="K96" i="18"/>
  <c r="X95" i="18"/>
  <c r="W95" i="18"/>
  <c r="V95" i="18"/>
  <c r="U95" i="18"/>
  <c r="T95" i="18"/>
  <c r="S95" i="18"/>
  <c r="Q95" i="18"/>
  <c r="O95" i="18"/>
  <c r="M95" i="18"/>
  <c r="K95" i="18"/>
  <c r="X94" i="18"/>
  <c r="W94" i="18"/>
  <c r="V94" i="18"/>
  <c r="U94" i="18"/>
  <c r="T94" i="18"/>
  <c r="S94" i="18"/>
  <c r="Q94" i="18"/>
  <c r="O94" i="18"/>
  <c r="M94" i="18"/>
  <c r="K94" i="18"/>
  <c r="X93" i="18"/>
  <c r="W93" i="18"/>
  <c r="V93" i="18"/>
  <c r="U93" i="18"/>
  <c r="T93" i="18"/>
  <c r="S93" i="18"/>
  <c r="Q93" i="18"/>
  <c r="O93" i="18"/>
  <c r="M93" i="18"/>
  <c r="K93" i="18"/>
  <c r="X92" i="18"/>
  <c r="W92" i="18"/>
  <c r="V92" i="18"/>
  <c r="U92" i="18"/>
  <c r="T92" i="18"/>
  <c r="S92" i="18"/>
  <c r="Q92" i="18"/>
  <c r="O92" i="18"/>
  <c r="M92" i="18"/>
  <c r="K92" i="18"/>
  <c r="X91" i="18"/>
  <c r="W91" i="18"/>
  <c r="V91" i="18"/>
  <c r="U91" i="18"/>
  <c r="T91" i="18"/>
  <c r="S91" i="18"/>
  <c r="Q91" i="18"/>
  <c r="O91" i="18"/>
  <c r="M91" i="18"/>
  <c r="K91" i="18"/>
  <c r="X90" i="18"/>
  <c r="W90" i="18"/>
  <c r="V90" i="18"/>
  <c r="U90" i="18"/>
  <c r="T90" i="18"/>
  <c r="S90" i="18"/>
  <c r="Q90" i="18"/>
  <c r="O90" i="18"/>
  <c r="M90" i="18"/>
  <c r="K90" i="18"/>
  <c r="X89" i="18"/>
  <c r="W89" i="18"/>
  <c r="V89" i="18"/>
  <c r="U89" i="18"/>
  <c r="T89" i="18"/>
  <c r="S89" i="18"/>
  <c r="Q89" i="18"/>
  <c r="O89" i="18"/>
  <c r="M89" i="18"/>
  <c r="K89" i="18"/>
  <c r="X88" i="18"/>
  <c r="W88" i="18"/>
  <c r="V88" i="18"/>
  <c r="U88" i="18"/>
  <c r="T88" i="18"/>
  <c r="S88" i="18"/>
  <c r="Q88" i="18"/>
  <c r="O88" i="18"/>
  <c r="M88" i="18"/>
  <c r="K88" i="18"/>
  <c r="X87" i="18"/>
  <c r="W87" i="18"/>
  <c r="V87" i="18"/>
  <c r="U87" i="18"/>
  <c r="T87" i="18"/>
  <c r="S87" i="18"/>
  <c r="Q87" i="18"/>
  <c r="O87" i="18"/>
  <c r="M87" i="18"/>
  <c r="K87" i="18"/>
  <c r="X86" i="18"/>
  <c r="W86" i="18"/>
  <c r="V86" i="18"/>
  <c r="U86" i="18"/>
  <c r="T86" i="18"/>
  <c r="S86" i="18"/>
  <c r="Q86" i="18"/>
  <c r="O86" i="18"/>
  <c r="M86" i="18"/>
  <c r="K86" i="18"/>
  <c r="X85" i="18"/>
  <c r="W85" i="18"/>
  <c r="V85" i="18"/>
  <c r="U85" i="18"/>
  <c r="T85" i="18"/>
  <c r="S85" i="18"/>
  <c r="Q85" i="18"/>
  <c r="O85" i="18"/>
  <c r="M85" i="18"/>
  <c r="K85" i="18"/>
  <c r="X84" i="18"/>
  <c r="W84" i="18"/>
  <c r="V84" i="18"/>
  <c r="U84" i="18"/>
  <c r="T84" i="18"/>
  <c r="S84" i="18"/>
  <c r="Q84" i="18"/>
  <c r="O84" i="18"/>
  <c r="M84" i="18"/>
  <c r="K84" i="18"/>
  <c r="X83" i="18"/>
  <c r="W83" i="18"/>
  <c r="V83" i="18"/>
  <c r="U83" i="18"/>
  <c r="T83" i="18"/>
  <c r="S83" i="18"/>
  <c r="Q83" i="18"/>
  <c r="O83" i="18"/>
  <c r="M83" i="18"/>
  <c r="K83" i="18"/>
  <c r="X82" i="18"/>
  <c r="W82" i="18"/>
  <c r="V82" i="18"/>
  <c r="U82" i="18"/>
  <c r="T82" i="18"/>
  <c r="S82" i="18"/>
  <c r="Q82" i="18"/>
  <c r="O82" i="18"/>
  <c r="M82" i="18"/>
  <c r="K82" i="18"/>
  <c r="X81" i="18"/>
  <c r="W81" i="18"/>
  <c r="V81" i="18"/>
  <c r="U81" i="18"/>
  <c r="T81" i="18"/>
  <c r="S81" i="18"/>
  <c r="Q81" i="18"/>
  <c r="O81" i="18"/>
  <c r="M81" i="18"/>
  <c r="K81" i="18"/>
  <c r="X80" i="18"/>
  <c r="W80" i="18"/>
  <c r="V80" i="18"/>
  <c r="U80" i="18"/>
  <c r="T80" i="18"/>
  <c r="S80" i="18"/>
  <c r="Q80" i="18"/>
  <c r="O80" i="18"/>
  <c r="M80" i="18"/>
  <c r="K80" i="18"/>
  <c r="X79" i="18"/>
  <c r="W79" i="18"/>
  <c r="V79" i="18"/>
  <c r="U79" i="18"/>
  <c r="T79" i="18"/>
  <c r="S79" i="18"/>
  <c r="Q79" i="18"/>
  <c r="O79" i="18"/>
  <c r="M79" i="18"/>
  <c r="K79" i="18"/>
  <c r="X78" i="18"/>
  <c r="W78" i="18"/>
  <c r="V78" i="18"/>
  <c r="U78" i="18"/>
  <c r="T78" i="18"/>
  <c r="S78" i="18"/>
  <c r="Q78" i="18"/>
  <c r="O78" i="18"/>
  <c r="M78" i="18"/>
  <c r="K78" i="18"/>
  <c r="X77" i="18"/>
  <c r="W77" i="18"/>
  <c r="V77" i="18"/>
  <c r="U77" i="18"/>
  <c r="T77" i="18"/>
  <c r="S77" i="18"/>
  <c r="Q77" i="18"/>
  <c r="O77" i="18"/>
  <c r="M77" i="18"/>
  <c r="K77" i="18"/>
  <c r="X76" i="18"/>
  <c r="W76" i="18"/>
  <c r="V76" i="18"/>
  <c r="U76" i="18"/>
  <c r="T76" i="18"/>
  <c r="S76" i="18"/>
  <c r="Q76" i="18"/>
  <c r="O76" i="18"/>
  <c r="M76" i="18"/>
  <c r="K76" i="18"/>
  <c r="X75" i="18"/>
  <c r="W75" i="18"/>
  <c r="V75" i="18"/>
  <c r="U75" i="18"/>
  <c r="T75" i="18"/>
  <c r="S75" i="18"/>
  <c r="Q75" i="18"/>
  <c r="O75" i="18"/>
  <c r="M75" i="18"/>
  <c r="K75" i="18"/>
  <c r="X74" i="18"/>
  <c r="W74" i="18"/>
  <c r="V74" i="18"/>
  <c r="U74" i="18"/>
  <c r="T74" i="18"/>
  <c r="S74" i="18"/>
  <c r="Q74" i="18"/>
  <c r="O74" i="18"/>
  <c r="M74" i="18"/>
  <c r="K74" i="18"/>
  <c r="X73" i="18"/>
  <c r="W73" i="18"/>
  <c r="V73" i="18"/>
  <c r="U73" i="18"/>
  <c r="T73" i="18"/>
  <c r="S73" i="18"/>
  <c r="Q73" i="18"/>
  <c r="O73" i="18"/>
  <c r="M73" i="18"/>
  <c r="K73" i="18"/>
  <c r="X72" i="18"/>
  <c r="W72" i="18"/>
  <c r="V72" i="18"/>
  <c r="U72" i="18"/>
  <c r="T72" i="18"/>
  <c r="S72" i="18"/>
  <c r="Q72" i="18"/>
  <c r="O72" i="18"/>
  <c r="M72" i="18"/>
  <c r="K72" i="18"/>
  <c r="X71" i="18"/>
  <c r="W71" i="18"/>
  <c r="V71" i="18"/>
  <c r="U71" i="18"/>
  <c r="T71" i="18"/>
  <c r="S71" i="18"/>
  <c r="Q71" i="18"/>
  <c r="O71" i="18"/>
  <c r="M71" i="18"/>
  <c r="K71" i="18"/>
  <c r="X70" i="18"/>
  <c r="W70" i="18"/>
  <c r="V70" i="18"/>
  <c r="U70" i="18"/>
  <c r="T70" i="18"/>
  <c r="S70" i="18"/>
  <c r="Q70" i="18"/>
  <c r="O70" i="18"/>
  <c r="M70" i="18"/>
  <c r="K70" i="18"/>
  <c r="X69" i="18"/>
  <c r="W69" i="18"/>
  <c r="V69" i="18"/>
  <c r="U69" i="18"/>
  <c r="T69" i="18"/>
  <c r="S69" i="18"/>
  <c r="Q69" i="18"/>
  <c r="O69" i="18"/>
  <c r="M69" i="18"/>
  <c r="K69" i="18"/>
  <c r="X68" i="18"/>
  <c r="W68" i="18"/>
  <c r="V68" i="18"/>
  <c r="U68" i="18"/>
  <c r="T68" i="18"/>
  <c r="S68" i="18"/>
  <c r="Q68" i="18"/>
  <c r="O68" i="18"/>
  <c r="M68" i="18"/>
  <c r="K68" i="18"/>
  <c r="X67" i="18"/>
  <c r="W67" i="18"/>
  <c r="V67" i="18"/>
  <c r="U67" i="18"/>
  <c r="T67" i="18"/>
  <c r="S67" i="18"/>
  <c r="Q67" i="18"/>
  <c r="O67" i="18"/>
  <c r="M67" i="18"/>
  <c r="K67" i="18"/>
  <c r="X66" i="18"/>
  <c r="W66" i="18"/>
  <c r="V66" i="18"/>
  <c r="U66" i="18"/>
  <c r="T66" i="18"/>
  <c r="S66" i="18"/>
  <c r="Q66" i="18"/>
  <c r="O66" i="18"/>
  <c r="M66" i="18"/>
  <c r="K66" i="18"/>
  <c r="X65" i="18"/>
  <c r="W65" i="18"/>
  <c r="V65" i="18"/>
  <c r="U65" i="18"/>
  <c r="T65" i="18"/>
  <c r="S65" i="18"/>
  <c r="Q65" i="18"/>
  <c r="O65" i="18"/>
  <c r="M65" i="18"/>
  <c r="K65" i="18"/>
  <c r="X64" i="18"/>
  <c r="W64" i="18"/>
  <c r="V64" i="18"/>
  <c r="U64" i="18"/>
  <c r="T64" i="18"/>
  <c r="S64" i="18"/>
  <c r="Q64" i="18"/>
  <c r="O64" i="18"/>
  <c r="M64" i="18"/>
  <c r="K64" i="18"/>
  <c r="X63" i="18"/>
  <c r="W63" i="18"/>
  <c r="V63" i="18"/>
  <c r="U63" i="18"/>
  <c r="T63" i="18"/>
  <c r="S63" i="18"/>
  <c r="Q63" i="18"/>
  <c r="O63" i="18"/>
  <c r="M63" i="18"/>
  <c r="K63" i="18"/>
  <c r="X62" i="18"/>
  <c r="W62" i="18"/>
  <c r="V62" i="18"/>
  <c r="U62" i="18"/>
  <c r="T62" i="18"/>
  <c r="S62" i="18"/>
  <c r="Q62" i="18"/>
  <c r="O62" i="18"/>
  <c r="M62" i="18"/>
  <c r="K62" i="18"/>
  <c r="X61" i="18"/>
  <c r="W61" i="18"/>
  <c r="V61" i="18"/>
  <c r="U61" i="18"/>
  <c r="T61" i="18"/>
  <c r="S61" i="18"/>
  <c r="Q61" i="18"/>
  <c r="O61" i="18"/>
  <c r="M61" i="18"/>
  <c r="K61" i="18"/>
  <c r="X60" i="18"/>
  <c r="W60" i="18"/>
  <c r="V60" i="18"/>
  <c r="U60" i="18"/>
  <c r="T60" i="18"/>
  <c r="S60" i="18"/>
  <c r="Q60" i="18"/>
  <c r="O60" i="18"/>
  <c r="M60" i="18"/>
  <c r="K60" i="18"/>
  <c r="X59" i="18"/>
  <c r="W59" i="18"/>
  <c r="V59" i="18"/>
  <c r="U59" i="18"/>
  <c r="T59" i="18"/>
  <c r="S59" i="18"/>
  <c r="Q59" i="18"/>
  <c r="O59" i="18"/>
  <c r="M59" i="18"/>
  <c r="K59" i="18"/>
  <c r="X58" i="18"/>
  <c r="W58" i="18"/>
  <c r="V58" i="18"/>
  <c r="U58" i="18"/>
  <c r="T58" i="18"/>
  <c r="S58" i="18"/>
  <c r="Q58" i="18"/>
  <c r="O58" i="18"/>
  <c r="M58" i="18"/>
  <c r="K58" i="18"/>
  <c r="X57" i="18"/>
  <c r="W57" i="18"/>
  <c r="V57" i="18"/>
  <c r="U57" i="18"/>
  <c r="T57" i="18"/>
  <c r="S57" i="18"/>
  <c r="Q57" i="18"/>
  <c r="O57" i="18"/>
  <c r="M57" i="18"/>
  <c r="K57" i="18"/>
  <c r="X56" i="18"/>
  <c r="W56" i="18"/>
  <c r="V56" i="18"/>
  <c r="U56" i="18"/>
  <c r="T56" i="18"/>
  <c r="S56" i="18"/>
  <c r="Q56" i="18"/>
  <c r="O56" i="18"/>
  <c r="M56" i="18"/>
  <c r="K56" i="18"/>
  <c r="X55" i="18"/>
  <c r="W55" i="18"/>
  <c r="V55" i="18"/>
  <c r="U55" i="18"/>
  <c r="T55" i="18"/>
  <c r="S55" i="18"/>
  <c r="Q55" i="18"/>
  <c r="O55" i="18"/>
  <c r="M55" i="18"/>
  <c r="K55" i="18"/>
  <c r="X54" i="18"/>
  <c r="W54" i="18"/>
  <c r="V54" i="18"/>
  <c r="U54" i="18"/>
  <c r="T54" i="18"/>
  <c r="S54" i="18"/>
  <c r="Q54" i="18"/>
  <c r="O54" i="18"/>
  <c r="M54" i="18"/>
  <c r="K54" i="18"/>
  <c r="X53" i="18"/>
  <c r="W53" i="18"/>
  <c r="V53" i="18"/>
  <c r="U53" i="18"/>
  <c r="T53" i="18"/>
  <c r="S53" i="18"/>
  <c r="Q53" i="18"/>
  <c r="O53" i="18"/>
  <c r="M53" i="18"/>
  <c r="K53" i="18"/>
  <c r="X52" i="18"/>
  <c r="W52" i="18"/>
  <c r="V52" i="18"/>
  <c r="U52" i="18"/>
  <c r="T52" i="18"/>
  <c r="S52" i="18"/>
  <c r="Q52" i="18"/>
  <c r="O52" i="18"/>
  <c r="M52" i="18"/>
  <c r="K52" i="18"/>
  <c r="X51" i="18"/>
  <c r="W51" i="18"/>
  <c r="V51" i="18"/>
  <c r="U51" i="18"/>
  <c r="T51" i="18"/>
  <c r="S51" i="18"/>
  <c r="Q51" i="18"/>
  <c r="O51" i="18"/>
  <c r="M51" i="18"/>
  <c r="K51" i="18"/>
  <c r="X50" i="18"/>
  <c r="W50" i="18"/>
  <c r="V50" i="18"/>
  <c r="U50" i="18"/>
  <c r="T50" i="18"/>
  <c r="S50" i="18"/>
  <c r="Q50" i="18"/>
  <c r="O50" i="18"/>
  <c r="M50" i="18"/>
  <c r="K50" i="18"/>
  <c r="X49" i="18"/>
  <c r="W49" i="18"/>
  <c r="V49" i="18"/>
  <c r="U49" i="18"/>
  <c r="T49" i="18"/>
  <c r="S49" i="18"/>
  <c r="Q49" i="18"/>
  <c r="O49" i="18"/>
  <c r="M49" i="18"/>
  <c r="K49" i="18"/>
  <c r="X48" i="18"/>
  <c r="W48" i="18"/>
  <c r="V48" i="18"/>
  <c r="U48" i="18"/>
  <c r="T48" i="18"/>
  <c r="S48" i="18"/>
  <c r="Q48" i="18"/>
  <c r="O48" i="18"/>
  <c r="M48" i="18"/>
  <c r="K48" i="18"/>
  <c r="X47" i="18"/>
  <c r="W47" i="18"/>
  <c r="V47" i="18"/>
  <c r="U47" i="18"/>
  <c r="T47" i="18"/>
  <c r="S47" i="18"/>
  <c r="Q47" i="18"/>
  <c r="O47" i="18"/>
  <c r="M47" i="18"/>
  <c r="K47" i="18"/>
  <c r="X46" i="18"/>
  <c r="W46" i="18"/>
  <c r="V46" i="18"/>
  <c r="U46" i="18"/>
  <c r="T46" i="18"/>
  <c r="S46" i="18"/>
  <c r="Q46" i="18"/>
  <c r="O46" i="18"/>
  <c r="M46" i="18"/>
  <c r="K46" i="18"/>
  <c r="X45" i="18"/>
  <c r="W45" i="18"/>
  <c r="V45" i="18"/>
  <c r="U45" i="18"/>
  <c r="T45" i="18"/>
  <c r="S45" i="18"/>
  <c r="Q45" i="18"/>
  <c r="O45" i="18"/>
  <c r="M45" i="18"/>
  <c r="K45" i="18"/>
  <c r="X44" i="18"/>
  <c r="W44" i="18"/>
  <c r="V44" i="18"/>
  <c r="U44" i="18"/>
  <c r="T44" i="18"/>
  <c r="S44" i="18"/>
  <c r="Q44" i="18"/>
  <c r="O44" i="18"/>
  <c r="M44" i="18"/>
  <c r="K44" i="18"/>
  <c r="X43" i="18"/>
  <c r="W43" i="18"/>
  <c r="V43" i="18"/>
  <c r="U43" i="18"/>
  <c r="T43" i="18"/>
  <c r="S43" i="18"/>
  <c r="Q43" i="18"/>
  <c r="O43" i="18"/>
  <c r="M43" i="18"/>
  <c r="K43" i="18"/>
  <c r="X42" i="18"/>
  <c r="W42" i="18"/>
  <c r="V42" i="18"/>
  <c r="U42" i="18"/>
  <c r="T42" i="18"/>
  <c r="S42" i="18"/>
  <c r="Q42" i="18"/>
  <c r="O42" i="18"/>
  <c r="M42" i="18"/>
  <c r="K42" i="18"/>
  <c r="X41" i="18"/>
  <c r="W41" i="18"/>
  <c r="V41" i="18"/>
  <c r="U41" i="18"/>
  <c r="T41" i="18"/>
  <c r="S41" i="18"/>
  <c r="Q41" i="18"/>
  <c r="O41" i="18"/>
  <c r="M41" i="18"/>
  <c r="K41" i="18"/>
  <c r="X40" i="18"/>
  <c r="W40" i="18"/>
  <c r="V40" i="18"/>
  <c r="U40" i="18"/>
  <c r="T40" i="18"/>
  <c r="S40" i="18"/>
  <c r="Q40" i="18"/>
  <c r="O40" i="18"/>
  <c r="M40" i="18"/>
  <c r="K40" i="18"/>
  <c r="X39" i="18"/>
  <c r="W39" i="18"/>
  <c r="V39" i="18"/>
  <c r="U39" i="18"/>
  <c r="T39" i="18"/>
  <c r="S39" i="18"/>
  <c r="Q39" i="18"/>
  <c r="O39" i="18"/>
  <c r="M39" i="18"/>
  <c r="K39" i="18"/>
  <c r="X38" i="18"/>
  <c r="W38" i="18"/>
  <c r="V38" i="18"/>
  <c r="U38" i="18"/>
  <c r="T38" i="18"/>
  <c r="S38" i="18"/>
  <c r="Q38" i="18"/>
  <c r="O38" i="18"/>
  <c r="M38" i="18"/>
  <c r="K38" i="18"/>
  <c r="X37" i="18"/>
  <c r="W37" i="18"/>
  <c r="V37" i="18"/>
  <c r="U37" i="18"/>
  <c r="T37" i="18"/>
  <c r="S37" i="18"/>
  <c r="Q37" i="18"/>
  <c r="O37" i="18"/>
  <c r="M37" i="18"/>
  <c r="K37" i="18"/>
  <c r="X36" i="18"/>
  <c r="W36" i="18"/>
  <c r="V36" i="18"/>
  <c r="U36" i="18"/>
  <c r="T36" i="18"/>
  <c r="S36" i="18"/>
  <c r="Q36" i="18"/>
  <c r="O36" i="18"/>
  <c r="M36" i="18"/>
  <c r="K36" i="18"/>
  <c r="X35" i="18"/>
  <c r="W35" i="18"/>
  <c r="V35" i="18"/>
  <c r="U35" i="18"/>
  <c r="T35" i="18"/>
  <c r="S35" i="18"/>
  <c r="Q35" i="18"/>
  <c r="O35" i="18"/>
  <c r="M35" i="18"/>
  <c r="K35" i="18"/>
  <c r="X34" i="18"/>
  <c r="W34" i="18"/>
  <c r="V34" i="18"/>
  <c r="U34" i="18"/>
  <c r="T34" i="18"/>
  <c r="S34" i="18"/>
  <c r="Q34" i="18"/>
  <c r="O34" i="18"/>
  <c r="M34" i="18"/>
  <c r="K34" i="18"/>
  <c r="X33" i="18"/>
  <c r="W33" i="18"/>
  <c r="V33" i="18"/>
  <c r="U33" i="18"/>
  <c r="T33" i="18"/>
  <c r="S33" i="18"/>
  <c r="Q33" i="18"/>
  <c r="O33" i="18"/>
  <c r="M33" i="18"/>
  <c r="K33" i="18"/>
  <c r="X32" i="18"/>
  <c r="W32" i="18"/>
  <c r="V32" i="18"/>
  <c r="U32" i="18"/>
  <c r="T32" i="18"/>
  <c r="S32" i="18"/>
  <c r="Q32" i="18"/>
  <c r="O32" i="18"/>
  <c r="M32" i="18"/>
  <c r="K32" i="18"/>
  <c r="X31" i="18"/>
  <c r="W31" i="18"/>
  <c r="V31" i="18"/>
  <c r="U31" i="18"/>
  <c r="T31" i="18"/>
  <c r="S31" i="18"/>
  <c r="Q31" i="18"/>
  <c r="O31" i="18"/>
  <c r="M31" i="18"/>
  <c r="K31" i="18"/>
  <c r="X30" i="18"/>
  <c r="W30" i="18"/>
  <c r="V30" i="18"/>
  <c r="U30" i="18"/>
  <c r="T30" i="18"/>
  <c r="S30" i="18"/>
  <c r="Q30" i="18"/>
  <c r="O30" i="18"/>
  <c r="M30" i="18"/>
  <c r="K30" i="18"/>
  <c r="X29" i="18"/>
  <c r="W29" i="18"/>
  <c r="V29" i="18"/>
  <c r="U29" i="18"/>
  <c r="T29" i="18"/>
  <c r="S29" i="18"/>
  <c r="Q29" i="18"/>
  <c r="O29" i="18"/>
  <c r="M29" i="18"/>
  <c r="K29" i="18"/>
  <c r="X28" i="18"/>
  <c r="W28" i="18"/>
  <c r="V28" i="18"/>
  <c r="U28" i="18"/>
  <c r="T28" i="18"/>
  <c r="S28" i="18"/>
  <c r="Q28" i="18"/>
  <c r="O28" i="18"/>
  <c r="M28" i="18"/>
  <c r="K28" i="18"/>
  <c r="X27" i="18"/>
  <c r="W27" i="18"/>
  <c r="V27" i="18"/>
  <c r="U27" i="18"/>
  <c r="T27" i="18"/>
  <c r="S27" i="18"/>
  <c r="Q27" i="18"/>
  <c r="O27" i="18"/>
  <c r="M27" i="18"/>
  <c r="K27" i="18"/>
  <c r="X26" i="18"/>
  <c r="W26" i="18"/>
  <c r="V26" i="18"/>
  <c r="U26" i="18"/>
  <c r="T26" i="18"/>
  <c r="S26" i="18"/>
  <c r="Q26" i="18"/>
  <c r="O26" i="18"/>
  <c r="M26" i="18"/>
  <c r="K26" i="18"/>
  <c r="X25" i="18"/>
  <c r="W25" i="18"/>
  <c r="V25" i="18"/>
  <c r="U25" i="18"/>
  <c r="T25" i="18"/>
  <c r="S25" i="18"/>
  <c r="Q25" i="18"/>
  <c r="O25" i="18"/>
  <c r="M25" i="18"/>
  <c r="K25" i="18"/>
  <c r="X24" i="18"/>
  <c r="W24" i="18"/>
  <c r="V24" i="18"/>
  <c r="U24" i="18"/>
  <c r="T24" i="18"/>
  <c r="S24" i="18"/>
  <c r="Q24" i="18"/>
  <c r="O24" i="18"/>
  <c r="M24" i="18"/>
  <c r="K24" i="18"/>
  <c r="X23" i="18"/>
  <c r="W23" i="18"/>
  <c r="V23" i="18"/>
  <c r="U23" i="18"/>
  <c r="T23" i="18"/>
  <c r="S23" i="18"/>
  <c r="Q23" i="18"/>
  <c r="O23" i="18"/>
  <c r="M23" i="18"/>
  <c r="K23" i="18"/>
  <c r="X22" i="18"/>
  <c r="W22" i="18"/>
  <c r="V22" i="18"/>
  <c r="U22" i="18"/>
  <c r="T22" i="18"/>
  <c r="S22" i="18"/>
  <c r="Q22" i="18"/>
  <c r="O22" i="18"/>
  <c r="M22" i="18"/>
  <c r="K22" i="18"/>
  <c r="X21" i="18"/>
  <c r="W21" i="18"/>
  <c r="V21" i="18"/>
  <c r="U21" i="18"/>
  <c r="T21" i="18"/>
  <c r="S21" i="18"/>
  <c r="Q21" i="18"/>
  <c r="O21" i="18"/>
  <c r="M21" i="18"/>
  <c r="K21" i="18"/>
  <c r="X20" i="18"/>
  <c r="W20" i="18"/>
  <c r="V20" i="18"/>
  <c r="U20" i="18"/>
  <c r="T20" i="18"/>
  <c r="S20" i="18"/>
  <c r="Q20" i="18"/>
  <c r="O20" i="18"/>
  <c r="M20" i="18"/>
  <c r="K20" i="18"/>
  <c r="X19" i="18"/>
  <c r="W19" i="18"/>
  <c r="V19" i="18"/>
  <c r="U19" i="18"/>
  <c r="T19" i="18"/>
  <c r="S19" i="18"/>
  <c r="Q19" i="18"/>
  <c r="O19" i="18"/>
  <c r="M19" i="18"/>
  <c r="K19" i="18"/>
  <c r="X18" i="18"/>
  <c r="W18" i="18"/>
  <c r="V18" i="18"/>
  <c r="U18" i="18"/>
  <c r="T18" i="18"/>
  <c r="S18" i="18"/>
  <c r="Q18" i="18"/>
  <c r="O18" i="18"/>
  <c r="M18" i="18"/>
  <c r="K18" i="18"/>
  <c r="X17" i="18"/>
  <c r="W17" i="18"/>
  <c r="V17" i="18"/>
  <c r="U17" i="18"/>
  <c r="T17" i="18"/>
  <c r="S17" i="18"/>
  <c r="Q17" i="18"/>
  <c r="O17" i="18"/>
  <c r="M17" i="18"/>
  <c r="K17" i="18"/>
  <c r="X16" i="18"/>
  <c r="W16" i="18"/>
  <c r="V16" i="18"/>
  <c r="U16" i="18"/>
  <c r="T16" i="18"/>
  <c r="S16" i="18"/>
  <c r="Q16" i="18"/>
  <c r="O16" i="18"/>
  <c r="M16" i="18"/>
  <c r="K16" i="18"/>
  <c r="X15" i="18"/>
  <c r="W15" i="18"/>
  <c r="V15" i="18"/>
  <c r="U15" i="18"/>
  <c r="T15" i="18"/>
  <c r="S15" i="18"/>
  <c r="Q15" i="18"/>
  <c r="O15" i="18"/>
  <c r="M15" i="18"/>
  <c r="K15" i="18"/>
  <c r="X14" i="18"/>
  <c r="W14" i="18"/>
  <c r="V14" i="18"/>
  <c r="U14" i="18"/>
  <c r="T14" i="18"/>
  <c r="S14" i="18"/>
  <c r="Q14" i="18"/>
  <c r="O14" i="18"/>
  <c r="M14" i="18"/>
  <c r="K14" i="18"/>
  <c r="X13" i="18"/>
  <c r="W13" i="18"/>
  <c r="V13" i="18"/>
  <c r="U13" i="18"/>
  <c r="T13" i="18"/>
  <c r="S13" i="18"/>
  <c r="Q13" i="18"/>
  <c r="O13" i="18"/>
  <c r="M13" i="18"/>
  <c r="K13" i="18"/>
  <c r="X12" i="18"/>
  <c r="W12" i="18"/>
  <c r="V12" i="18"/>
  <c r="U12" i="18"/>
  <c r="T12" i="18"/>
  <c r="S12" i="18"/>
  <c r="Q12" i="18"/>
  <c r="O12" i="18"/>
  <c r="M12" i="18"/>
  <c r="K12" i="18"/>
  <c r="X11" i="18"/>
  <c r="W11" i="18"/>
  <c r="V11" i="18"/>
  <c r="U11" i="18"/>
  <c r="T11" i="18"/>
  <c r="S11" i="18"/>
  <c r="Q11" i="18"/>
  <c r="O11" i="18"/>
  <c r="M11" i="18"/>
  <c r="K11" i="18"/>
  <c r="X10" i="18"/>
  <c r="W10" i="18"/>
  <c r="V10" i="18"/>
  <c r="U10" i="18"/>
  <c r="T10" i="18"/>
  <c r="S10" i="18"/>
  <c r="Q10" i="18"/>
  <c r="O10" i="18"/>
  <c r="M10" i="18"/>
  <c r="K10" i="18"/>
  <c r="X9" i="18"/>
  <c r="W9" i="18"/>
  <c r="V9" i="18"/>
  <c r="U9" i="18"/>
  <c r="T9" i="18"/>
  <c r="S9" i="18"/>
  <c r="Q9" i="18"/>
  <c r="O9" i="18"/>
  <c r="M9" i="18"/>
  <c r="K9" i="18"/>
  <c r="X8" i="18"/>
  <c r="W8" i="18"/>
  <c r="V8" i="18"/>
  <c r="U8" i="18"/>
  <c r="T8" i="18"/>
  <c r="S8" i="18"/>
  <c r="Q8" i="18"/>
  <c r="O8" i="18"/>
  <c r="M8" i="18"/>
  <c r="K8" i="18"/>
  <c r="X7" i="18"/>
  <c r="W7" i="18"/>
  <c r="V7" i="18"/>
  <c r="U7" i="18"/>
  <c r="T7" i="18"/>
  <c r="S7" i="18"/>
  <c r="Q7" i="18"/>
  <c r="O7" i="18"/>
  <c r="M7" i="18"/>
  <c r="K7" i="18"/>
  <c r="X299" i="17"/>
  <c r="W299" i="17"/>
  <c r="V299" i="17"/>
  <c r="U299" i="17"/>
  <c r="T299" i="17"/>
  <c r="S299" i="17"/>
  <c r="Q299" i="17"/>
  <c r="O299" i="17"/>
  <c r="M299" i="17"/>
  <c r="K299" i="17"/>
  <c r="X298" i="17"/>
  <c r="W298" i="17"/>
  <c r="V298" i="17"/>
  <c r="U298" i="17"/>
  <c r="T298" i="17"/>
  <c r="S298" i="17"/>
  <c r="Q298" i="17"/>
  <c r="O298" i="17"/>
  <c r="M298" i="17"/>
  <c r="K298" i="17"/>
  <c r="X297" i="17"/>
  <c r="W297" i="17"/>
  <c r="V297" i="17"/>
  <c r="U297" i="17"/>
  <c r="T297" i="17"/>
  <c r="S297" i="17"/>
  <c r="Q297" i="17"/>
  <c r="O297" i="17"/>
  <c r="M297" i="17"/>
  <c r="K297" i="17"/>
  <c r="X296" i="17"/>
  <c r="W296" i="17"/>
  <c r="V296" i="17"/>
  <c r="U296" i="17"/>
  <c r="T296" i="17"/>
  <c r="S296" i="17"/>
  <c r="Q296" i="17"/>
  <c r="O296" i="17"/>
  <c r="M296" i="17"/>
  <c r="K296" i="17"/>
  <c r="X295" i="17"/>
  <c r="W295" i="17"/>
  <c r="V295" i="17"/>
  <c r="U295" i="17"/>
  <c r="T295" i="17"/>
  <c r="S295" i="17"/>
  <c r="Q295" i="17"/>
  <c r="O295" i="17"/>
  <c r="M295" i="17"/>
  <c r="K295" i="17"/>
  <c r="X294" i="17"/>
  <c r="W294" i="17"/>
  <c r="V294" i="17"/>
  <c r="U294" i="17"/>
  <c r="T294" i="17"/>
  <c r="S294" i="17"/>
  <c r="Q294" i="17"/>
  <c r="O294" i="17"/>
  <c r="M294" i="17"/>
  <c r="K294" i="17"/>
  <c r="X293" i="17"/>
  <c r="W293" i="17"/>
  <c r="V293" i="17"/>
  <c r="U293" i="17"/>
  <c r="T293" i="17"/>
  <c r="S293" i="17"/>
  <c r="Q293" i="17"/>
  <c r="O293" i="17"/>
  <c r="M293" i="17"/>
  <c r="K293" i="17"/>
  <c r="X292" i="17"/>
  <c r="W292" i="17"/>
  <c r="V292" i="17"/>
  <c r="U292" i="17"/>
  <c r="T292" i="17"/>
  <c r="S292" i="17"/>
  <c r="Q292" i="17"/>
  <c r="O292" i="17"/>
  <c r="M292" i="17"/>
  <c r="K292" i="17"/>
  <c r="X291" i="17"/>
  <c r="W291" i="17"/>
  <c r="V291" i="17"/>
  <c r="U291" i="17"/>
  <c r="T291" i="17"/>
  <c r="S291" i="17"/>
  <c r="Q291" i="17"/>
  <c r="O291" i="17"/>
  <c r="M291" i="17"/>
  <c r="K291" i="17"/>
  <c r="X290" i="17"/>
  <c r="W290" i="17"/>
  <c r="V290" i="17"/>
  <c r="U290" i="17"/>
  <c r="T290" i="17"/>
  <c r="S290" i="17"/>
  <c r="Q290" i="17"/>
  <c r="O290" i="17"/>
  <c r="M290" i="17"/>
  <c r="K290" i="17"/>
  <c r="X289" i="17"/>
  <c r="W289" i="17"/>
  <c r="V289" i="17"/>
  <c r="U289" i="17"/>
  <c r="T289" i="17"/>
  <c r="S289" i="17"/>
  <c r="Q289" i="17"/>
  <c r="O289" i="17"/>
  <c r="M289" i="17"/>
  <c r="K289" i="17"/>
  <c r="X288" i="17"/>
  <c r="W288" i="17"/>
  <c r="V288" i="17"/>
  <c r="U288" i="17"/>
  <c r="T288" i="17"/>
  <c r="S288" i="17"/>
  <c r="Q288" i="17"/>
  <c r="O288" i="17"/>
  <c r="M288" i="17"/>
  <c r="K288" i="17"/>
  <c r="X287" i="17"/>
  <c r="W287" i="17"/>
  <c r="V287" i="17"/>
  <c r="U287" i="17"/>
  <c r="T287" i="17"/>
  <c r="S287" i="17"/>
  <c r="Q287" i="17"/>
  <c r="O287" i="17"/>
  <c r="M287" i="17"/>
  <c r="K287" i="17"/>
  <c r="X286" i="17"/>
  <c r="W286" i="17"/>
  <c r="V286" i="17"/>
  <c r="U286" i="17"/>
  <c r="T286" i="17"/>
  <c r="S286" i="17"/>
  <c r="Q286" i="17"/>
  <c r="O286" i="17"/>
  <c r="M286" i="17"/>
  <c r="K286" i="17"/>
  <c r="X285" i="17"/>
  <c r="W285" i="17"/>
  <c r="V285" i="17"/>
  <c r="U285" i="17"/>
  <c r="T285" i="17"/>
  <c r="S285" i="17"/>
  <c r="Q285" i="17"/>
  <c r="O285" i="17"/>
  <c r="M285" i="17"/>
  <c r="K285" i="17"/>
  <c r="X284" i="17"/>
  <c r="W284" i="17"/>
  <c r="V284" i="17"/>
  <c r="U284" i="17"/>
  <c r="T284" i="17"/>
  <c r="S284" i="17"/>
  <c r="Q284" i="17"/>
  <c r="O284" i="17"/>
  <c r="M284" i="17"/>
  <c r="K284" i="17"/>
  <c r="X283" i="17"/>
  <c r="W283" i="17"/>
  <c r="V283" i="17"/>
  <c r="U283" i="17"/>
  <c r="T283" i="17"/>
  <c r="S283" i="17"/>
  <c r="Q283" i="17"/>
  <c r="O283" i="17"/>
  <c r="M283" i="17"/>
  <c r="K283" i="17"/>
  <c r="X282" i="17"/>
  <c r="W282" i="17"/>
  <c r="V282" i="17"/>
  <c r="U282" i="17"/>
  <c r="T282" i="17"/>
  <c r="S282" i="17"/>
  <c r="Q282" i="17"/>
  <c r="O282" i="17"/>
  <c r="M282" i="17"/>
  <c r="K282" i="17"/>
  <c r="X281" i="17"/>
  <c r="W281" i="17"/>
  <c r="V281" i="17"/>
  <c r="U281" i="17"/>
  <c r="T281" i="17"/>
  <c r="S281" i="17"/>
  <c r="Q281" i="17"/>
  <c r="O281" i="17"/>
  <c r="M281" i="17"/>
  <c r="K281" i="17"/>
  <c r="X280" i="17"/>
  <c r="W280" i="17"/>
  <c r="V280" i="17"/>
  <c r="U280" i="17"/>
  <c r="T280" i="17"/>
  <c r="S280" i="17"/>
  <c r="Q280" i="17"/>
  <c r="O280" i="17"/>
  <c r="M280" i="17"/>
  <c r="K280" i="17"/>
  <c r="X279" i="17"/>
  <c r="W279" i="17"/>
  <c r="V279" i="17"/>
  <c r="U279" i="17"/>
  <c r="T279" i="17"/>
  <c r="S279" i="17"/>
  <c r="Q279" i="17"/>
  <c r="O279" i="17"/>
  <c r="M279" i="17"/>
  <c r="K279" i="17"/>
  <c r="X278" i="17"/>
  <c r="W278" i="17"/>
  <c r="V278" i="17"/>
  <c r="U278" i="17"/>
  <c r="T278" i="17"/>
  <c r="S278" i="17"/>
  <c r="Q278" i="17"/>
  <c r="O278" i="17"/>
  <c r="M278" i="17"/>
  <c r="K278" i="17"/>
  <c r="X277" i="17"/>
  <c r="W277" i="17"/>
  <c r="V277" i="17"/>
  <c r="U277" i="17"/>
  <c r="T277" i="17"/>
  <c r="S277" i="17"/>
  <c r="Q277" i="17"/>
  <c r="O277" i="17"/>
  <c r="M277" i="17"/>
  <c r="K277" i="17"/>
  <c r="X276" i="17"/>
  <c r="W276" i="17"/>
  <c r="V276" i="17"/>
  <c r="U276" i="17"/>
  <c r="T276" i="17"/>
  <c r="S276" i="17"/>
  <c r="Q276" i="17"/>
  <c r="O276" i="17"/>
  <c r="M276" i="17"/>
  <c r="K276" i="17"/>
  <c r="X275" i="17"/>
  <c r="W275" i="17"/>
  <c r="V275" i="17"/>
  <c r="U275" i="17"/>
  <c r="T275" i="17"/>
  <c r="S275" i="17"/>
  <c r="Q275" i="17"/>
  <c r="O275" i="17"/>
  <c r="M275" i="17"/>
  <c r="K275" i="17"/>
  <c r="X274" i="17"/>
  <c r="W274" i="17"/>
  <c r="V274" i="17"/>
  <c r="U274" i="17"/>
  <c r="T274" i="17"/>
  <c r="S274" i="17"/>
  <c r="Q274" i="17"/>
  <c r="O274" i="17"/>
  <c r="M274" i="17"/>
  <c r="K274" i="17"/>
  <c r="X273" i="17"/>
  <c r="W273" i="17"/>
  <c r="V273" i="17"/>
  <c r="U273" i="17"/>
  <c r="T273" i="17"/>
  <c r="S273" i="17"/>
  <c r="Q273" i="17"/>
  <c r="O273" i="17"/>
  <c r="M273" i="17"/>
  <c r="K273" i="17"/>
  <c r="X272" i="17"/>
  <c r="W272" i="17"/>
  <c r="V272" i="17"/>
  <c r="U272" i="17"/>
  <c r="T272" i="17"/>
  <c r="S272" i="17"/>
  <c r="Q272" i="17"/>
  <c r="O272" i="17"/>
  <c r="M272" i="17"/>
  <c r="K272" i="17"/>
  <c r="X271" i="17"/>
  <c r="W271" i="17"/>
  <c r="V271" i="17"/>
  <c r="U271" i="17"/>
  <c r="T271" i="17"/>
  <c r="S271" i="17"/>
  <c r="Q271" i="17"/>
  <c r="O271" i="17"/>
  <c r="M271" i="17"/>
  <c r="K271" i="17"/>
  <c r="X270" i="17"/>
  <c r="W270" i="17"/>
  <c r="V270" i="17"/>
  <c r="U270" i="17"/>
  <c r="T270" i="17"/>
  <c r="S270" i="17"/>
  <c r="Q270" i="17"/>
  <c r="O270" i="17"/>
  <c r="M270" i="17"/>
  <c r="K270" i="17"/>
  <c r="X269" i="17"/>
  <c r="W269" i="17"/>
  <c r="V269" i="17"/>
  <c r="U269" i="17"/>
  <c r="T269" i="17"/>
  <c r="S269" i="17"/>
  <c r="Q269" i="17"/>
  <c r="O269" i="17"/>
  <c r="M269" i="17"/>
  <c r="K269" i="17"/>
  <c r="X268" i="17"/>
  <c r="W268" i="17"/>
  <c r="V268" i="17"/>
  <c r="U268" i="17"/>
  <c r="T268" i="17"/>
  <c r="S268" i="17"/>
  <c r="Q268" i="17"/>
  <c r="O268" i="17"/>
  <c r="M268" i="17"/>
  <c r="K268" i="17"/>
  <c r="X267" i="17"/>
  <c r="W267" i="17"/>
  <c r="V267" i="17"/>
  <c r="U267" i="17"/>
  <c r="T267" i="17"/>
  <c r="S267" i="17"/>
  <c r="Q267" i="17"/>
  <c r="O267" i="17"/>
  <c r="M267" i="17"/>
  <c r="K267" i="17"/>
  <c r="X266" i="17"/>
  <c r="W266" i="17"/>
  <c r="V266" i="17"/>
  <c r="U266" i="17"/>
  <c r="T266" i="17"/>
  <c r="S266" i="17"/>
  <c r="Q266" i="17"/>
  <c r="O266" i="17"/>
  <c r="M266" i="17"/>
  <c r="K266" i="17"/>
  <c r="X265" i="17"/>
  <c r="W265" i="17"/>
  <c r="V265" i="17"/>
  <c r="U265" i="17"/>
  <c r="T265" i="17"/>
  <c r="S265" i="17"/>
  <c r="Q265" i="17"/>
  <c r="O265" i="17"/>
  <c r="M265" i="17"/>
  <c r="K265" i="17"/>
  <c r="X264" i="17"/>
  <c r="W264" i="17"/>
  <c r="V264" i="17"/>
  <c r="U264" i="17"/>
  <c r="T264" i="17"/>
  <c r="S264" i="17"/>
  <c r="Q264" i="17"/>
  <c r="O264" i="17"/>
  <c r="M264" i="17"/>
  <c r="K264" i="17"/>
  <c r="X263" i="17"/>
  <c r="W263" i="17"/>
  <c r="V263" i="17"/>
  <c r="U263" i="17"/>
  <c r="T263" i="17"/>
  <c r="S263" i="17"/>
  <c r="Q263" i="17"/>
  <c r="O263" i="17"/>
  <c r="M263" i="17"/>
  <c r="K263" i="17"/>
  <c r="X262" i="17"/>
  <c r="W262" i="17"/>
  <c r="V262" i="17"/>
  <c r="U262" i="17"/>
  <c r="T262" i="17"/>
  <c r="S262" i="17"/>
  <c r="Q262" i="17"/>
  <c r="O262" i="17"/>
  <c r="M262" i="17"/>
  <c r="K262" i="17"/>
  <c r="X261" i="17"/>
  <c r="W261" i="17"/>
  <c r="V261" i="17"/>
  <c r="U261" i="17"/>
  <c r="T261" i="17"/>
  <c r="S261" i="17"/>
  <c r="Q261" i="17"/>
  <c r="O261" i="17"/>
  <c r="M261" i="17"/>
  <c r="K261" i="17"/>
  <c r="X260" i="17"/>
  <c r="W260" i="17"/>
  <c r="V260" i="17"/>
  <c r="U260" i="17"/>
  <c r="T260" i="17"/>
  <c r="S260" i="17"/>
  <c r="Q260" i="17"/>
  <c r="O260" i="17"/>
  <c r="M260" i="17"/>
  <c r="K260" i="17"/>
  <c r="X259" i="17"/>
  <c r="W259" i="17"/>
  <c r="V259" i="17"/>
  <c r="U259" i="17"/>
  <c r="T259" i="17"/>
  <c r="S259" i="17"/>
  <c r="Q259" i="17"/>
  <c r="O259" i="17"/>
  <c r="M259" i="17"/>
  <c r="K259" i="17"/>
  <c r="X258" i="17"/>
  <c r="W258" i="17"/>
  <c r="V258" i="17"/>
  <c r="U258" i="17"/>
  <c r="T258" i="17"/>
  <c r="S258" i="17"/>
  <c r="Q258" i="17"/>
  <c r="O258" i="17"/>
  <c r="M258" i="17"/>
  <c r="K258" i="17"/>
  <c r="X257" i="17"/>
  <c r="W257" i="17"/>
  <c r="V257" i="17"/>
  <c r="U257" i="17"/>
  <c r="T257" i="17"/>
  <c r="S257" i="17"/>
  <c r="Q257" i="17"/>
  <c r="O257" i="17"/>
  <c r="M257" i="17"/>
  <c r="K257" i="17"/>
  <c r="X256" i="17"/>
  <c r="W256" i="17"/>
  <c r="V256" i="17"/>
  <c r="U256" i="17"/>
  <c r="T256" i="17"/>
  <c r="S256" i="17"/>
  <c r="Q256" i="17"/>
  <c r="O256" i="17"/>
  <c r="M256" i="17"/>
  <c r="K256" i="17"/>
  <c r="X255" i="17"/>
  <c r="W255" i="17"/>
  <c r="V255" i="17"/>
  <c r="U255" i="17"/>
  <c r="T255" i="17"/>
  <c r="S255" i="17"/>
  <c r="Q255" i="17"/>
  <c r="O255" i="17"/>
  <c r="M255" i="17"/>
  <c r="K255" i="17"/>
  <c r="X254" i="17"/>
  <c r="W254" i="17"/>
  <c r="V254" i="17"/>
  <c r="U254" i="17"/>
  <c r="T254" i="17"/>
  <c r="S254" i="17"/>
  <c r="Q254" i="17"/>
  <c r="O254" i="17"/>
  <c r="M254" i="17"/>
  <c r="K254" i="17"/>
  <c r="X253" i="17"/>
  <c r="W253" i="17"/>
  <c r="V253" i="17"/>
  <c r="U253" i="17"/>
  <c r="T253" i="17"/>
  <c r="S253" i="17"/>
  <c r="Q253" i="17"/>
  <c r="O253" i="17"/>
  <c r="M253" i="17"/>
  <c r="K253" i="17"/>
  <c r="X252" i="17"/>
  <c r="W252" i="17"/>
  <c r="V252" i="17"/>
  <c r="U252" i="17"/>
  <c r="T252" i="17"/>
  <c r="S252" i="17"/>
  <c r="Q252" i="17"/>
  <c r="O252" i="17"/>
  <c r="M252" i="17"/>
  <c r="K252" i="17"/>
  <c r="X251" i="17"/>
  <c r="W251" i="17"/>
  <c r="V251" i="17"/>
  <c r="U251" i="17"/>
  <c r="T251" i="17"/>
  <c r="S251" i="17"/>
  <c r="Q251" i="17"/>
  <c r="O251" i="17"/>
  <c r="M251" i="17"/>
  <c r="K251" i="17"/>
  <c r="X250" i="17"/>
  <c r="W250" i="17"/>
  <c r="V250" i="17"/>
  <c r="U250" i="17"/>
  <c r="T250" i="17"/>
  <c r="S250" i="17"/>
  <c r="Q250" i="17"/>
  <c r="O250" i="17"/>
  <c r="M250" i="17"/>
  <c r="K250" i="17"/>
  <c r="X249" i="17"/>
  <c r="W249" i="17"/>
  <c r="V249" i="17"/>
  <c r="U249" i="17"/>
  <c r="T249" i="17"/>
  <c r="S249" i="17"/>
  <c r="Q249" i="17"/>
  <c r="O249" i="17"/>
  <c r="M249" i="17"/>
  <c r="K249" i="17"/>
  <c r="X248" i="17"/>
  <c r="W248" i="17"/>
  <c r="V248" i="17"/>
  <c r="U248" i="17"/>
  <c r="T248" i="17"/>
  <c r="S248" i="17"/>
  <c r="Q248" i="17"/>
  <c r="O248" i="17"/>
  <c r="M248" i="17"/>
  <c r="K248" i="17"/>
  <c r="X247" i="17"/>
  <c r="W247" i="17"/>
  <c r="V247" i="17"/>
  <c r="U247" i="17"/>
  <c r="T247" i="17"/>
  <c r="S247" i="17"/>
  <c r="Q247" i="17"/>
  <c r="O247" i="17"/>
  <c r="M247" i="17"/>
  <c r="K247" i="17"/>
  <c r="X246" i="17"/>
  <c r="W246" i="17"/>
  <c r="V246" i="17"/>
  <c r="U246" i="17"/>
  <c r="T246" i="17"/>
  <c r="S246" i="17"/>
  <c r="Q246" i="17"/>
  <c r="O246" i="17"/>
  <c r="M246" i="17"/>
  <c r="K246" i="17"/>
  <c r="X245" i="17"/>
  <c r="W245" i="17"/>
  <c r="V245" i="17"/>
  <c r="U245" i="17"/>
  <c r="T245" i="17"/>
  <c r="S245" i="17"/>
  <c r="Q245" i="17"/>
  <c r="O245" i="17"/>
  <c r="M245" i="17"/>
  <c r="K245" i="17"/>
  <c r="X244" i="17"/>
  <c r="W244" i="17"/>
  <c r="V244" i="17"/>
  <c r="U244" i="17"/>
  <c r="T244" i="17"/>
  <c r="S244" i="17"/>
  <c r="Q244" i="17"/>
  <c r="O244" i="17"/>
  <c r="M244" i="17"/>
  <c r="K244" i="17"/>
  <c r="X243" i="17"/>
  <c r="W243" i="17"/>
  <c r="V243" i="17"/>
  <c r="U243" i="17"/>
  <c r="T243" i="17"/>
  <c r="S243" i="17"/>
  <c r="Q243" i="17"/>
  <c r="O243" i="17"/>
  <c r="M243" i="17"/>
  <c r="K243" i="17"/>
  <c r="X242" i="17"/>
  <c r="W242" i="17"/>
  <c r="V242" i="17"/>
  <c r="U242" i="17"/>
  <c r="T242" i="17"/>
  <c r="S242" i="17"/>
  <c r="Q242" i="17"/>
  <c r="O242" i="17"/>
  <c r="M242" i="17"/>
  <c r="K242" i="17"/>
  <c r="X241" i="17"/>
  <c r="W241" i="17"/>
  <c r="V241" i="17"/>
  <c r="U241" i="17"/>
  <c r="T241" i="17"/>
  <c r="S241" i="17"/>
  <c r="Q241" i="17"/>
  <c r="O241" i="17"/>
  <c r="M241" i="17"/>
  <c r="K241" i="17"/>
  <c r="X240" i="17"/>
  <c r="W240" i="17"/>
  <c r="V240" i="17"/>
  <c r="U240" i="17"/>
  <c r="T240" i="17"/>
  <c r="S240" i="17"/>
  <c r="Q240" i="17"/>
  <c r="O240" i="17"/>
  <c r="M240" i="17"/>
  <c r="K240" i="17"/>
  <c r="X239" i="17"/>
  <c r="W239" i="17"/>
  <c r="V239" i="17"/>
  <c r="U239" i="17"/>
  <c r="T239" i="17"/>
  <c r="S239" i="17"/>
  <c r="Q239" i="17"/>
  <c r="O239" i="17"/>
  <c r="M239" i="17"/>
  <c r="K239" i="17"/>
  <c r="X238" i="17"/>
  <c r="W238" i="17"/>
  <c r="V238" i="17"/>
  <c r="U238" i="17"/>
  <c r="T238" i="17"/>
  <c r="S238" i="17"/>
  <c r="Q238" i="17"/>
  <c r="O238" i="17"/>
  <c r="M238" i="17"/>
  <c r="K238" i="17"/>
  <c r="X237" i="17"/>
  <c r="W237" i="17"/>
  <c r="V237" i="17"/>
  <c r="U237" i="17"/>
  <c r="T237" i="17"/>
  <c r="S237" i="17"/>
  <c r="Q237" i="17"/>
  <c r="O237" i="17"/>
  <c r="M237" i="17"/>
  <c r="K237" i="17"/>
  <c r="X236" i="17"/>
  <c r="W236" i="17"/>
  <c r="V236" i="17"/>
  <c r="U236" i="17"/>
  <c r="T236" i="17"/>
  <c r="S236" i="17"/>
  <c r="Q236" i="17"/>
  <c r="O236" i="17"/>
  <c r="M236" i="17"/>
  <c r="K236" i="17"/>
  <c r="X235" i="17"/>
  <c r="W235" i="17"/>
  <c r="V235" i="17"/>
  <c r="U235" i="17"/>
  <c r="T235" i="17"/>
  <c r="S235" i="17"/>
  <c r="Q235" i="17"/>
  <c r="O235" i="17"/>
  <c r="M235" i="17"/>
  <c r="K235" i="17"/>
  <c r="X234" i="17"/>
  <c r="W234" i="17"/>
  <c r="V234" i="17"/>
  <c r="U234" i="17"/>
  <c r="T234" i="17"/>
  <c r="S234" i="17"/>
  <c r="Q234" i="17"/>
  <c r="O234" i="17"/>
  <c r="M234" i="17"/>
  <c r="K234" i="17"/>
  <c r="X233" i="17"/>
  <c r="W233" i="17"/>
  <c r="V233" i="17"/>
  <c r="U233" i="17"/>
  <c r="T233" i="17"/>
  <c r="S233" i="17"/>
  <c r="Q233" i="17"/>
  <c r="O233" i="17"/>
  <c r="M233" i="17"/>
  <c r="K233" i="17"/>
  <c r="X232" i="17"/>
  <c r="W232" i="17"/>
  <c r="V232" i="17"/>
  <c r="U232" i="17"/>
  <c r="T232" i="17"/>
  <c r="S232" i="17"/>
  <c r="Q232" i="17"/>
  <c r="O232" i="17"/>
  <c r="M232" i="17"/>
  <c r="K232" i="17"/>
  <c r="X231" i="17"/>
  <c r="W231" i="17"/>
  <c r="V231" i="17"/>
  <c r="U231" i="17"/>
  <c r="T231" i="17"/>
  <c r="S231" i="17"/>
  <c r="Q231" i="17"/>
  <c r="O231" i="17"/>
  <c r="M231" i="17"/>
  <c r="K231" i="17"/>
  <c r="X230" i="17"/>
  <c r="W230" i="17"/>
  <c r="V230" i="17"/>
  <c r="U230" i="17"/>
  <c r="T230" i="17"/>
  <c r="S230" i="17"/>
  <c r="Q230" i="17"/>
  <c r="O230" i="17"/>
  <c r="M230" i="17"/>
  <c r="K230" i="17"/>
  <c r="X229" i="17"/>
  <c r="W229" i="17"/>
  <c r="V229" i="17"/>
  <c r="U229" i="17"/>
  <c r="T229" i="17"/>
  <c r="S229" i="17"/>
  <c r="Q229" i="17"/>
  <c r="O229" i="17"/>
  <c r="M229" i="17"/>
  <c r="K229" i="17"/>
  <c r="X228" i="17"/>
  <c r="W228" i="17"/>
  <c r="V228" i="17"/>
  <c r="U228" i="17"/>
  <c r="T228" i="17"/>
  <c r="S228" i="17"/>
  <c r="Q228" i="17"/>
  <c r="O228" i="17"/>
  <c r="M228" i="17"/>
  <c r="K228" i="17"/>
  <c r="X227" i="17"/>
  <c r="W227" i="17"/>
  <c r="V227" i="17"/>
  <c r="U227" i="17"/>
  <c r="T227" i="17"/>
  <c r="S227" i="17"/>
  <c r="Q227" i="17"/>
  <c r="O227" i="17"/>
  <c r="M227" i="17"/>
  <c r="K227" i="17"/>
  <c r="X226" i="17"/>
  <c r="W226" i="17"/>
  <c r="V226" i="17"/>
  <c r="U226" i="17"/>
  <c r="T226" i="17"/>
  <c r="S226" i="17"/>
  <c r="Q226" i="17"/>
  <c r="O226" i="17"/>
  <c r="M226" i="17"/>
  <c r="K226" i="17"/>
  <c r="X225" i="17"/>
  <c r="W225" i="17"/>
  <c r="V225" i="17"/>
  <c r="U225" i="17"/>
  <c r="T225" i="17"/>
  <c r="S225" i="17"/>
  <c r="Q225" i="17"/>
  <c r="O225" i="17"/>
  <c r="M225" i="17"/>
  <c r="K225" i="17"/>
  <c r="X224" i="17"/>
  <c r="W224" i="17"/>
  <c r="V224" i="17"/>
  <c r="U224" i="17"/>
  <c r="T224" i="17"/>
  <c r="S224" i="17"/>
  <c r="Q224" i="17"/>
  <c r="O224" i="17"/>
  <c r="M224" i="17"/>
  <c r="K224" i="17"/>
  <c r="X223" i="17"/>
  <c r="W223" i="17"/>
  <c r="V223" i="17"/>
  <c r="U223" i="17"/>
  <c r="T223" i="17"/>
  <c r="S223" i="17"/>
  <c r="Q223" i="17"/>
  <c r="O223" i="17"/>
  <c r="M223" i="17"/>
  <c r="K223" i="17"/>
  <c r="X222" i="17"/>
  <c r="W222" i="17"/>
  <c r="V222" i="17"/>
  <c r="U222" i="17"/>
  <c r="T222" i="17"/>
  <c r="S222" i="17"/>
  <c r="Q222" i="17"/>
  <c r="O222" i="17"/>
  <c r="M222" i="17"/>
  <c r="K222" i="17"/>
  <c r="X221" i="17"/>
  <c r="W221" i="17"/>
  <c r="V221" i="17"/>
  <c r="U221" i="17"/>
  <c r="T221" i="17"/>
  <c r="S221" i="17"/>
  <c r="Q221" i="17"/>
  <c r="O221" i="17"/>
  <c r="M221" i="17"/>
  <c r="K221" i="17"/>
  <c r="X220" i="17"/>
  <c r="W220" i="17"/>
  <c r="V220" i="17"/>
  <c r="U220" i="17"/>
  <c r="T220" i="17"/>
  <c r="S220" i="17"/>
  <c r="Q220" i="17"/>
  <c r="O220" i="17"/>
  <c r="M220" i="17"/>
  <c r="K220" i="17"/>
  <c r="X219" i="17"/>
  <c r="W219" i="17"/>
  <c r="V219" i="17"/>
  <c r="U219" i="17"/>
  <c r="T219" i="17"/>
  <c r="S219" i="17"/>
  <c r="Q219" i="17"/>
  <c r="O219" i="17"/>
  <c r="M219" i="17"/>
  <c r="K219" i="17"/>
  <c r="X218" i="17"/>
  <c r="W218" i="17"/>
  <c r="V218" i="17"/>
  <c r="U218" i="17"/>
  <c r="T218" i="17"/>
  <c r="S218" i="17"/>
  <c r="Q218" i="17"/>
  <c r="O218" i="17"/>
  <c r="M218" i="17"/>
  <c r="K218" i="17"/>
  <c r="X217" i="17"/>
  <c r="W217" i="17"/>
  <c r="V217" i="17"/>
  <c r="U217" i="17"/>
  <c r="T217" i="17"/>
  <c r="S217" i="17"/>
  <c r="Q217" i="17"/>
  <c r="O217" i="17"/>
  <c r="M217" i="17"/>
  <c r="K217" i="17"/>
  <c r="X216" i="17"/>
  <c r="W216" i="17"/>
  <c r="V216" i="17"/>
  <c r="U216" i="17"/>
  <c r="T216" i="17"/>
  <c r="S216" i="17"/>
  <c r="Q216" i="17"/>
  <c r="O216" i="17"/>
  <c r="M216" i="17"/>
  <c r="K216" i="17"/>
  <c r="X215" i="17"/>
  <c r="W215" i="17"/>
  <c r="V215" i="17"/>
  <c r="U215" i="17"/>
  <c r="T215" i="17"/>
  <c r="S215" i="17"/>
  <c r="Q215" i="17"/>
  <c r="O215" i="17"/>
  <c r="M215" i="17"/>
  <c r="K215" i="17"/>
  <c r="X214" i="17"/>
  <c r="W214" i="17"/>
  <c r="V214" i="17"/>
  <c r="U214" i="17"/>
  <c r="T214" i="17"/>
  <c r="S214" i="17"/>
  <c r="Q214" i="17"/>
  <c r="O214" i="17"/>
  <c r="M214" i="17"/>
  <c r="K214" i="17"/>
  <c r="X213" i="17"/>
  <c r="W213" i="17"/>
  <c r="V213" i="17"/>
  <c r="U213" i="17"/>
  <c r="T213" i="17"/>
  <c r="S213" i="17"/>
  <c r="Q213" i="17"/>
  <c r="O213" i="17"/>
  <c r="M213" i="17"/>
  <c r="K213" i="17"/>
  <c r="X212" i="17"/>
  <c r="W212" i="17"/>
  <c r="V212" i="17"/>
  <c r="U212" i="17"/>
  <c r="T212" i="17"/>
  <c r="S212" i="17"/>
  <c r="Q212" i="17"/>
  <c r="O212" i="17"/>
  <c r="M212" i="17"/>
  <c r="K212" i="17"/>
  <c r="X211" i="17"/>
  <c r="W211" i="17"/>
  <c r="V211" i="17"/>
  <c r="U211" i="17"/>
  <c r="T211" i="17"/>
  <c r="S211" i="17"/>
  <c r="Q211" i="17"/>
  <c r="O211" i="17"/>
  <c r="M211" i="17"/>
  <c r="K211" i="17"/>
  <c r="X210" i="17"/>
  <c r="W210" i="17"/>
  <c r="V210" i="17"/>
  <c r="U210" i="17"/>
  <c r="T210" i="17"/>
  <c r="S210" i="17"/>
  <c r="Q210" i="17"/>
  <c r="O210" i="17"/>
  <c r="M210" i="17"/>
  <c r="K210" i="17"/>
  <c r="X209" i="17"/>
  <c r="W209" i="17"/>
  <c r="V209" i="17"/>
  <c r="U209" i="17"/>
  <c r="T209" i="17"/>
  <c r="S209" i="17"/>
  <c r="Q209" i="17"/>
  <c r="O209" i="17"/>
  <c r="M209" i="17"/>
  <c r="K209" i="17"/>
  <c r="X208" i="17"/>
  <c r="W208" i="17"/>
  <c r="V208" i="17"/>
  <c r="U208" i="17"/>
  <c r="T208" i="17"/>
  <c r="S208" i="17"/>
  <c r="Q208" i="17"/>
  <c r="O208" i="17"/>
  <c r="M208" i="17"/>
  <c r="K208" i="17"/>
  <c r="X207" i="17"/>
  <c r="W207" i="17"/>
  <c r="V207" i="17"/>
  <c r="U207" i="17"/>
  <c r="T207" i="17"/>
  <c r="S207" i="17"/>
  <c r="Q207" i="17"/>
  <c r="O207" i="17"/>
  <c r="M207" i="17"/>
  <c r="K207" i="17"/>
  <c r="X206" i="17"/>
  <c r="W206" i="17"/>
  <c r="V206" i="17"/>
  <c r="U206" i="17"/>
  <c r="T206" i="17"/>
  <c r="S206" i="17"/>
  <c r="Q206" i="17"/>
  <c r="O206" i="17"/>
  <c r="M206" i="17"/>
  <c r="K206" i="17"/>
  <c r="X205" i="17"/>
  <c r="W205" i="17"/>
  <c r="V205" i="17"/>
  <c r="U205" i="17"/>
  <c r="T205" i="17"/>
  <c r="S205" i="17"/>
  <c r="Q205" i="17"/>
  <c r="O205" i="17"/>
  <c r="M205" i="17"/>
  <c r="K205" i="17"/>
  <c r="X204" i="17"/>
  <c r="W204" i="17"/>
  <c r="V204" i="17"/>
  <c r="U204" i="17"/>
  <c r="T204" i="17"/>
  <c r="S204" i="17"/>
  <c r="Q204" i="17"/>
  <c r="O204" i="17"/>
  <c r="M204" i="17"/>
  <c r="K204" i="17"/>
  <c r="X203" i="17"/>
  <c r="W203" i="17"/>
  <c r="V203" i="17"/>
  <c r="U203" i="17"/>
  <c r="T203" i="17"/>
  <c r="S203" i="17"/>
  <c r="Q203" i="17"/>
  <c r="O203" i="17"/>
  <c r="M203" i="17"/>
  <c r="K203" i="17"/>
  <c r="X202" i="17"/>
  <c r="W202" i="17"/>
  <c r="V202" i="17"/>
  <c r="U202" i="17"/>
  <c r="T202" i="17"/>
  <c r="S202" i="17"/>
  <c r="Q202" i="17"/>
  <c r="O202" i="17"/>
  <c r="M202" i="17"/>
  <c r="K202" i="17"/>
  <c r="X201" i="17"/>
  <c r="W201" i="17"/>
  <c r="V201" i="17"/>
  <c r="U201" i="17"/>
  <c r="T201" i="17"/>
  <c r="S201" i="17"/>
  <c r="Q201" i="17"/>
  <c r="O201" i="17"/>
  <c r="M201" i="17"/>
  <c r="K201" i="17"/>
  <c r="X200" i="17"/>
  <c r="W200" i="17"/>
  <c r="V200" i="17"/>
  <c r="U200" i="17"/>
  <c r="T200" i="17"/>
  <c r="S200" i="17"/>
  <c r="Q200" i="17"/>
  <c r="O200" i="17"/>
  <c r="M200" i="17"/>
  <c r="K200" i="17"/>
  <c r="X199" i="17"/>
  <c r="W199" i="17"/>
  <c r="V199" i="17"/>
  <c r="U199" i="17"/>
  <c r="T199" i="17"/>
  <c r="S199" i="17"/>
  <c r="Q199" i="17"/>
  <c r="O199" i="17"/>
  <c r="M199" i="17"/>
  <c r="K199" i="17"/>
  <c r="X198" i="17"/>
  <c r="W198" i="17"/>
  <c r="V198" i="17"/>
  <c r="U198" i="17"/>
  <c r="T198" i="17"/>
  <c r="S198" i="17"/>
  <c r="Q198" i="17"/>
  <c r="O198" i="17"/>
  <c r="M198" i="17"/>
  <c r="K198" i="17"/>
  <c r="X197" i="17"/>
  <c r="W197" i="17"/>
  <c r="V197" i="17"/>
  <c r="U197" i="17"/>
  <c r="T197" i="17"/>
  <c r="S197" i="17"/>
  <c r="Q197" i="17"/>
  <c r="O197" i="17"/>
  <c r="M197" i="17"/>
  <c r="K197" i="17"/>
  <c r="X196" i="17"/>
  <c r="W196" i="17"/>
  <c r="V196" i="17"/>
  <c r="U196" i="17"/>
  <c r="T196" i="17"/>
  <c r="S196" i="17"/>
  <c r="Q196" i="17"/>
  <c r="O196" i="17"/>
  <c r="M196" i="17"/>
  <c r="K196" i="17"/>
  <c r="X195" i="17"/>
  <c r="W195" i="17"/>
  <c r="V195" i="17"/>
  <c r="U195" i="17"/>
  <c r="T195" i="17"/>
  <c r="S195" i="17"/>
  <c r="Q195" i="17"/>
  <c r="O195" i="17"/>
  <c r="M195" i="17"/>
  <c r="K195" i="17"/>
  <c r="X194" i="17"/>
  <c r="W194" i="17"/>
  <c r="V194" i="17"/>
  <c r="U194" i="17"/>
  <c r="T194" i="17"/>
  <c r="S194" i="17"/>
  <c r="Q194" i="17"/>
  <c r="O194" i="17"/>
  <c r="M194" i="17"/>
  <c r="K194" i="17"/>
  <c r="X193" i="17"/>
  <c r="W193" i="17"/>
  <c r="V193" i="17"/>
  <c r="U193" i="17"/>
  <c r="T193" i="17"/>
  <c r="S193" i="17"/>
  <c r="Q193" i="17"/>
  <c r="O193" i="17"/>
  <c r="M193" i="17"/>
  <c r="K193" i="17"/>
  <c r="X192" i="17"/>
  <c r="W192" i="17"/>
  <c r="V192" i="17"/>
  <c r="U192" i="17"/>
  <c r="T192" i="17"/>
  <c r="S192" i="17"/>
  <c r="Q192" i="17"/>
  <c r="O192" i="17"/>
  <c r="M192" i="17"/>
  <c r="K192" i="17"/>
  <c r="X191" i="17"/>
  <c r="W191" i="17"/>
  <c r="V191" i="17"/>
  <c r="U191" i="17"/>
  <c r="T191" i="17"/>
  <c r="S191" i="17"/>
  <c r="Q191" i="17"/>
  <c r="O191" i="17"/>
  <c r="M191" i="17"/>
  <c r="K191" i="17"/>
  <c r="X190" i="17"/>
  <c r="W190" i="17"/>
  <c r="V190" i="17"/>
  <c r="U190" i="17"/>
  <c r="T190" i="17"/>
  <c r="S190" i="17"/>
  <c r="Q190" i="17"/>
  <c r="O190" i="17"/>
  <c r="M190" i="17"/>
  <c r="K190" i="17"/>
  <c r="X189" i="17"/>
  <c r="W189" i="17"/>
  <c r="V189" i="17"/>
  <c r="U189" i="17"/>
  <c r="T189" i="17"/>
  <c r="S189" i="17"/>
  <c r="Q189" i="17"/>
  <c r="O189" i="17"/>
  <c r="M189" i="17"/>
  <c r="K189" i="17"/>
  <c r="X188" i="17"/>
  <c r="W188" i="17"/>
  <c r="V188" i="17"/>
  <c r="U188" i="17"/>
  <c r="T188" i="17"/>
  <c r="S188" i="17"/>
  <c r="Q188" i="17"/>
  <c r="O188" i="17"/>
  <c r="M188" i="17"/>
  <c r="K188" i="17"/>
  <c r="X187" i="17"/>
  <c r="W187" i="17"/>
  <c r="V187" i="17"/>
  <c r="U187" i="17"/>
  <c r="T187" i="17"/>
  <c r="S187" i="17"/>
  <c r="Q187" i="17"/>
  <c r="O187" i="17"/>
  <c r="M187" i="17"/>
  <c r="K187" i="17"/>
  <c r="X186" i="17"/>
  <c r="W186" i="17"/>
  <c r="V186" i="17"/>
  <c r="U186" i="17"/>
  <c r="T186" i="17"/>
  <c r="S186" i="17"/>
  <c r="Q186" i="17"/>
  <c r="O186" i="17"/>
  <c r="M186" i="17"/>
  <c r="K186" i="17"/>
  <c r="X185" i="17"/>
  <c r="W185" i="17"/>
  <c r="V185" i="17"/>
  <c r="U185" i="17"/>
  <c r="T185" i="17"/>
  <c r="S185" i="17"/>
  <c r="Q185" i="17"/>
  <c r="O185" i="17"/>
  <c r="M185" i="17"/>
  <c r="K185" i="17"/>
  <c r="X184" i="17"/>
  <c r="W184" i="17"/>
  <c r="V184" i="17"/>
  <c r="U184" i="17"/>
  <c r="T184" i="17"/>
  <c r="S184" i="17"/>
  <c r="Q184" i="17"/>
  <c r="O184" i="17"/>
  <c r="M184" i="17"/>
  <c r="K184" i="17"/>
  <c r="X183" i="17"/>
  <c r="W183" i="17"/>
  <c r="V183" i="17"/>
  <c r="U183" i="17"/>
  <c r="T183" i="17"/>
  <c r="S183" i="17"/>
  <c r="Q183" i="17"/>
  <c r="O183" i="17"/>
  <c r="M183" i="17"/>
  <c r="K183" i="17"/>
  <c r="X182" i="17"/>
  <c r="W182" i="17"/>
  <c r="V182" i="17"/>
  <c r="U182" i="17"/>
  <c r="T182" i="17"/>
  <c r="S182" i="17"/>
  <c r="Q182" i="17"/>
  <c r="O182" i="17"/>
  <c r="M182" i="17"/>
  <c r="K182" i="17"/>
  <c r="X181" i="17"/>
  <c r="W181" i="17"/>
  <c r="V181" i="17"/>
  <c r="U181" i="17"/>
  <c r="T181" i="17"/>
  <c r="S181" i="17"/>
  <c r="Q181" i="17"/>
  <c r="O181" i="17"/>
  <c r="M181" i="17"/>
  <c r="K181" i="17"/>
  <c r="X180" i="17"/>
  <c r="W180" i="17"/>
  <c r="V180" i="17"/>
  <c r="U180" i="17"/>
  <c r="T180" i="17"/>
  <c r="S180" i="17"/>
  <c r="Q180" i="17"/>
  <c r="O180" i="17"/>
  <c r="M180" i="17"/>
  <c r="K180" i="17"/>
  <c r="X179" i="17"/>
  <c r="W179" i="17"/>
  <c r="V179" i="17"/>
  <c r="U179" i="17"/>
  <c r="T179" i="17"/>
  <c r="S179" i="17"/>
  <c r="Q179" i="17"/>
  <c r="O179" i="17"/>
  <c r="M179" i="17"/>
  <c r="K179" i="17"/>
  <c r="X178" i="17"/>
  <c r="W178" i="17"/>
  <c r="V178" i="17"/>
  <c r="U178" i="17"/>
  <c r="T178" i="17"/>
  <c r="S178" i="17"/>
  <c r="Q178" i="17"/>
  <c r="O178" i="17"/>
  <c r="M178" i="17"/>
  <c r="K178" i="17"/>
  <c r="X177" i="17"/>
  <c r="W177" i="17"/>
  <c r="V177" i="17"/>
  <c r="U177" i="17"/>
  <c r="T177" i="17"/>
  <c r="S177" i="17"/>
  <c r="Q177" i="17"/>
  <c r="O177" i="17"/>
  <c r="M177" i="17"/>
  <c r="K177" i="17"/>
  <c r="X176" i="17"/>
  <c r="W176" i="17"/>
  <c r="V176" i="17"/>
  <c r="U176" i="17"/>
  <c r="T176" i="17"/>
  <c r="S176" i="17"/>
  <c r="Q176" i="17"/>
  <c r="O176" i="17"/>
  <c r="M176" i="17"/>
  <c r="K176" i="17"/>
  <c r="X175" i="17"/>
  <c r="W175" i="17"/>
  <c r="V175" i="17"/>
  <c r="U175" i="17"/>
  <c r="T175" i="17"/>
  <c r="S175" i="17"/>
  <c r="Q175" i="17"/>
  <c r="O175" i="17"/>
  <c r="M175" i="17"/>
  <c r="K175" i="17"/>
  <c r="X174" i="17"/>
  <c r="W174" i="17"/>
  <c r="V174" i="17"/>
  <c r="U174" i="17"/>
  <c r="T174" i="17"/>
  <c r="S174" i="17"/>
  <c r="Q174" i="17"/>
  <c r="O174" i="17"/>
  <c r="M174" i="17"/>
  <c r="K174" i="17"/>
  <c r="X173" i="17"/>
  <c r="W173" i="17"/>
  <c r="V173" i="17"/>
  <c r="U173" i="17"/>
  <c r="T173" i="17"/>
  <c r="S173" i="17"/>
  <c r="Q173" i="17"/>
  <c r="O173" i="17"/>
  <c r="M173" i="17"/>
  <c r="K173" i="17"/>
  <c r="X172" i="17"/>
  <c r="W172" i="17"/>
  <c r="V172" i="17"/>
  <c r="U172" i="17"/>
  <c r="T172" i="17"/>
  <c r="S172" i="17"/>
  <c r="Q172" i="17"/>
  <c r="O172" i="17"/>
  <c r="M172" i="17"/>
  <c r="K172" i="17"/>
  <c r="X171" i="17"/>
  <c r="W171" i="17"/>
  <c r="V171" i="17"/>
  <c r="U171" i="17"/>
  <c r="T171" i="17"/>
  <c r="S171" i="17"/>
  <c r="Q171" i="17"/>
  <c r="O171" i="17"/>
  <c r="M171" i="17"/>
  <c r="K171" i="17"/>
  <c r="X170" i="17"/>
  <c r="W170" i="17"/>
  <c r="V170" i="17"/>
  <c r="U170" i="17"/>
  <c r="T170" i="17"/>
  <c r="S170" i="17"/>
  <c r="Q170" i="17"/>
  <c r="O170" i="17"/>
  <c r="M170" i="17"/>
  <c r="K170" i="17"/>
  <c r="X169" i="17"/>
  <c r="W169" i="17"/>
  <c r="V169" i="17"/>
  <c r="U169" i="17"/>
  <c r="T169" i="17"/>
  <c r="S169" i="17"/>
  <c r="Q169" i="17"/>
  <c r="O169" i="17"/>
  <c r="M169" i="17"/>
  <c r="K169" i="17"/>
  <c r="X168" i="17"/>
  <c r="W168" i="17"/>
  <c r="V168" i="17"/>
  <c r="U168" i="17"/>
  <c r="T168" i="17"/>
  <c r="S168" i="17"/>
  <c r="Q168" i="17"/>
  <c r="O168" i="17"/>
  <c r="M168" i="17"/>
  <c r="K168" i="17"/>
  <c r="X167" i="17"/>
  <c r="W167" i="17"/>
  <c r="V167" i="17"/>
  <c r="U167" i="17"/>
  <c r="T167" i="17"/>
  <c r="S167" i="17"/>
  <c r="Q167" i="17"/>
  <c r="O167" i="17"/>
  <c r="M167" i="17"/>
  <c r="K167" i="17"/>
  <c r="X166" i="17"/>
  <c r="W166" i="17"/>
  <c r="V166" i="17"/>
  <c r="U166" i="17"/>
  <c r="T166" i="17"/>
  <c r="S166" i="17"/>
  <c r="Q166" i="17"/>
  <c r="O166" i="17"/>
  <c r="M166" i="17"/>
  <c r="K166" i="17"/>
  <c r="X165" i="17"/>
  <c r="W165" i="17"/>
  <c r="V165" i="17"/>
  <c r="U165" i="17"/>
  <c r="T165" i="17"/>
  <c r="S165" i="17"/>
  <c r="Q165" i="17"/>
  <c r="O165" i="17"/>
  <c r="M165" i="17"/>
  <c r="K165" i="17"/>
  <c r="X164" i="17"/>
  <c r="W164" i="17"/>
  <c r="V164" i="17"/>
  <c r="U164" i="17"/>
  <c r="T164" i="17"/>
  <c r="S164" i="17"/>
  <c r="Q164" i="17"/>
  <c r="O164" i="17"/>
  <c r="M164" i="17"/>
  <c r="K164" i="17"/>
  <c r="X163" i="17"/>
  <c r="W163" i="17"/>
  <c r="V163" i="17"/>
  <c r="U163" i="17"/>
  <c r="T163" i="17"/>
  <c r="S163" i="17"/>
  <c r="Q163" i="17"/>
  <c r="O163" i="17"/>
  <c r="M163" i="17"/>
  <c r="K163" i="17"/>
  <c r="X162" i="17"/>
  <c r="W162" i="17"/>
  <c r="V162" i="17"/>
  <c r="U162" i="17"/>
  <c r="T162" i="17"/>
  <c r="S162" i="17"/>
  <c r="Q162" i="17"/>
  <c r="O162" i="17"/>
  <c r="M162" i="17"/>
  <c r="K162" i="17"/>
  <c r="X161" i="17"/>
  <c r="W161" i="17"/>
  <c r="V161" i="17"/>
  <c r="U161" i="17"/>
  <c r="T161" i="17"/>
  <c r="S161" i="17"/>
  <c r="Q161" i="17"/>
  <c r="O161" i="17"/>
  <c r="M161" i="17"/>
  <c r="K161" i="17"/>
  <c r="X160" i="17"/>
  <c r="W160" i="17"/>
  <c r="V160" i="17"/>
  <c r="U160" i="17"/>
  <c r="T160" i="17"/>
  <c r="S160" i="17"/>
  <c r="Q160" i="17"/>
  <c r="O160" i="17"/>
  <c r="M160" i="17"/>
  <c r="K160" i="17"/>
  <c r="X159" i="17"/>
  <c r="W159" i="17"/>
  <c r="V159" i="17"/>
  <c r="U159" i="17"/>
  <c r="T159" i="17"/>
  <c r="S159" i="17"/>
  <c r="Q159" i="17"/>
  <c r="O159" i="17"/>
  <c r="M159" i="17"/>
  <c r="K159" i="17"/>
  <c r="X158" i="17"/>
  <c r="W158" i="17"/>
  <c r="V158" i="17"/>
  <c r="U158" i="17"/>
  <c r="T158" i="17"/>
  <c r="S158" i="17"/>
  <c r="Q158" i="17"/>
  <c r="O158" i="17"/>
  <c r="M158" i="17"/>
  <c r="K158" i="17"/>
  <c r="X157" i="17"/>
  <c r="W157" i="17"/>
  <c r="V157" i="17"/>
  <c r="U157" i="17"/>
  <c r="T157" i="17"/>
  <c r="S157" i="17"/>
  <c r="Q157" i="17"/>
  <c r="O157" i="17"/>
  <c r="M157" i="17"/>
  <c r="K157" i="17"/>
  <c r="X156" i="17"/>
  <c r="W156" i="17"/>
  <c r="V156" i="17"/>
  <c r="U156" i="17"/>
  <c r="T156" i="17"/>
  <c r="S156" i="17"/>
  <c r="Q156" i="17"/>
  <c r="O156" i="17"/>
  <c r="M156" i="17"/>
  <c r="K156" i="17"/>
  <c r="X155" i="17"/>
  <c r="W155" i="17"/>
  <c r="V155" i="17"/>
  <c r="U155" i="17"/>
  <c r="T155" i="17"/>
  <c r="S155" i="17"/>
  <c r="Q155" i="17"/>
  <c r="O155" i="17"/>
  <c r="M155" i="17"/>
  <c r="K155" i="17"/>
  <c r="X154" i="17"/>
  <c r="W154" i="17"/>
  <c r="V154" i="17"/>
  <c r="U154" i="17"/>
  <c r="T154" i="17"/>
  <c r="S154" i="17"/>
  <c r="Q154" i="17"/>
  <c r="O154" i="17"/>
  <c r="M154" i="17"/>
  <c r="K154" i="17"/>
  <c r="X153" i="17"/>
  <c r="W153" i="17"/>
  <c r="V153" i="17"/>
  <c r="U153" i="17"/>
  <c r="T153" i="17"/>
  <c r="S153" i="17"/>
  <c r="Q153" i="17"/>
  <c r="O153" i="17"/>
  <c r="M153" i="17"/>
  <c r="K153" i="17"/>
  <c r="X152" i="17"/>
  <c r="W152" i="17"/>
  <c r="V152" i="17"/>
  <c r="U152" i="17"/>
  <c r="T152" i="17"/>
  <c r="S152" i="17"/>
  <c r="Q152" i="17"/>
  <c r="O152" i="17"/>
  <c r="M152" i="17"/>
  <c r="K152" i="17"/>
  <c r="X151" i="17"/>
  <c r="W151" i="17"/>
  <c r="V151" i="17"/>
  <c r="U151" i="17"/>
  <c r="T151" i="17"/>
  <c r="S151" i="17"/>
  <c r="Q151" i="17"/>
  <c r="O151" i="17"/>
  <c r="M151" i="17"/>
  <c r="K151" i="17"/>
  <c r="X150" i="17"/>
  <c r="W150" i="17"/>
  <c r="V150" i="17"/>
  <c r="U150" i="17"/>
  <c r="T150" i="17"/>
  <c r="S150" i="17"/>
  <c r="Q150" i="17"/>
  <c r="O150" i="17"/>
  <c r="M150" i="17"/>
  <c r="K150" i="17"/>
  <c r="X149" i="17"/>
  <c r="W149" i="17"/>
  <c r="V149" i="17"/>
  <c r="U149" i="17"/>
  <c r="T149" i="17"/>
  <c r="S149" i="17"/>
  <c r="Q149" i="17"/>
  <c r="O149" i="17"/>
  <c r="M149" i="17"/>
  <c r="K149" i="17"/>
  <c r="X148" i="17"/>
  <c r="W148" i="17"/>
  <c r="V148" i="17"/>
  <c r="U148" i="17"/>
  <c r="T148" i="17"/>
  <c r="S148" i="17"/>
  <c r="Q148" i="17"/>
  <c r="O148" i="17"/>
  <c r="M148" i="17"/>
  <c r="K148" i="17"/>
  <c r="X147" i="17"/>
  <c r="W147" i="17"/>
  <c r="V147" i="17"/>
  <c r="U147" i="17"/>
  <c r="T147" i="17"/>
  <c r="S147" i="17"/>
  <c r="Q147" i="17"/>
  <c r="O147" i="17"/>
  <c r="M147" i="17"/>
  <c r="K147" i="17"/>
  <c r="X146" i="17"/>
  <c r="W146" i="17"/>
  <c r="V146" i="17"/>
  <c r="U146" i="17"/>
  <c r="T146" i="17"/>
  <c r="S146" i="17"/>
  <c r="Q146" i="17"/>
  <c r="O146" i="17"/>
  <c r="M146" i="17"/>
  <c r="K146" i="17"/>
  <c r="X145" i="17"/>
  <c r="W145" i="17"/>
  <c r="V145" i="17"/>
  <c r="U145" i="17"/>
  <c r="T145" i="17"/>
  <c r="S145" i="17"/>
  <c r="Q145" i="17"/>
  <c r="O145" i="17"/>
  <c r="M145" i="17"/>
  <c r="K145" i="17"/>
  <c r="X144" i="17"/>
  <c r="W144" i="17"/>
  <c r="V144" i="17"/>
  <c r="U144" i="17"/>
  <c r="T144" i="17"/>
  <c r="S144" i="17"/>
  <c r="Q144" i="17"/>
  <c r="O144" i="17"/>
  <c r="M144" i="17"/>
  <c r="K144" i="17"/>
  <c r="X143" i="17"/>
  <c r="W143" i="17"/>
  <c r="V143" i="17"/>
  <c r="U143" i="17"/>
  <c r="T143" i="17"/>
  <c r="S143" i="17"/>
  <c r="Q143" i="17"/>
  <c r="O143" i="17"/>
  <c r="M143" i="17"/>
  <c r="K143" i="17"/>
  <c r="X142" i="17"/>
  <c r="W142" i="17"/>
  <c r="V142" i="17"/>
  <c r="U142" i="17"/>
  <c r="T142" i="17"/>
  <c r="S142" i="17"/>
  <c r="Q142" i="17"/>
  <c r="O142" i="17"/>
  <c r="M142" i="17"/>
  <c r="K142" i="17"/>
  <c r="X141" i="17"/>
  <c r="W141" i="17"/>
  <c r="V141" i="17"/>
  <c r="U141" i="17"/>
  <c r="T141" i="17"/>
  <c r="S141" i="17"/>
  <c r="Q141" i="17"/>
  <c r="O141" i="17"/>
  <c r="M141" i="17"/>
  <c r="K141" i="17"/>
  <c r="X140" i="17"/>
  <c r="W140" i="17"/>
  <c r="V140" i="17"/>
  <c r="U140" i="17"/>
  <c r="T140" i="17"/>
  <c r="S140" i="17"/>
  <c r="Q140" i="17"/>
  <c r="O140" i="17"/>
  <c r="M140" i="17"/>
  <c r="K140" i="17"/>
  <c r="X139" i="17"/>
  <c r="W139" i="17"/>
  <c r="V139" i="17"/>
  <c r="U139" i="17"/>
  <c r="T139" i="17"/>
  <c r="S139" i="17"/>
  <c r="Q139" i="17"/>
  <c r="O139" i="17"/>
  <c r="M139" i="17"/>
  <c r="K139" i="17"/>
  <c r="X138" i="17"/>
  <c r="W138" i="17"/>
  <c r="V138" i="17"/>
  <c r="U138" i="17"/>
  <c r="T138" i="17"/>
  <c r="S138" i="17"/>
  <c r="Q138" i="17"/>
  <c r="O138" i="17"/>
  <c r="M138" i="17"/>
  <c r="K138" i="17"/>
  <c r="X137" i="17"/>
  <c r="W137" i="17"/>
  <c r="V137" i="17"/>
  <c r="U137" i="17"/>
  <c r="T137" i="17"/>
  <c r="S137" i="17"/>
  <c r="Q137" i="17"/>
  <c r="O137" i="17"/>
  <c r="M137" i="17"/>
  <c r="K137" i="17"/>
  <c r="X136" i="17"/>
  <c r="W136" i="17"/>
  <c r="V136" i="17"/>
  <c r="U136" i="17"/>
  <c r="T136" i="17"/>
  <c r="S136" i="17"/>
  <c r="Q136" i="17"/>
  <c r="O136" i="17"/>
  <c r="M136" i="17"/>
  <c r="K136" i="17"/>
  <c r="X135" i="17"/>
  <c r="W135" i="17"/>
  <c r="V135" i="17"/>
  <c r="U135" i="17"/>
  <c r="T135" i="17"/>
  <c r="S135" i="17"/>
  <c r="Q135" i="17"/>
  <c r="O135" i="17"/>
  <c r="M135" i="17"/>
  <c r="K135" i="17"/>
  <c r="X134" i="17"/>
  <c r="W134" i="17"/>
  <c r="V134" i="17"/>
  <c r="U134" i="17"/>
  <c r="T134" i="17"/>
  <c r="S134" i="17"/>
  <c r="Q134" i="17"/>
  <c r="O134" i="17"/>
  <c r="M134" i="17"/>
  <c r="K134" i="17"/>
  <c r="X133" i="17"/>
  <c r="W133" i="17"/>
  <c r="V133" i="17"/>
  <c r="U133" i="17"/>
  <c r="T133" i="17"/>
  <c r="S133" i="17"/>
  <c r="Q133" i="17"/>
  <c r="O133" i="17"/>
  <c r="M133" i="17"/>
  <c r="K133" i="17"/>
  <c r="X132" i="17"/>
  <c r="W132" i="17"/>
  <c r="V132" i="17"/>
  <c r="U132" i="17"/>
  <c r="T132" i="17"/>
  <c r="S132" i="17"/>
  <c r="Q132" i="17"/>
  <c r="O132" i="17"/>
  <c r="M132" i="17"/>
  <c r="K132" i="17"/>
  <c r="X131" i="17"/>
  <c r="W131" i="17"/>
  <c r="V131" i="17"/>
  <c r="U131" i="17"/>
  <c r="T131" i="17"/>
  <c r="S131" i="17"/>
  <c r="Q131" i="17"/>
  <c r="O131" i="17"/>
  <c r="M131" i="17"/>
  <c r="K131" i="17"/>
  <c r="X130" i="17"/>
  <c r="W130" i="17"/>
  <c r="V130" i="17"/>
  <c r="U130" i="17"/>
  <c r="T130" i="17"/>
  <c r="S130" i="17"/>
  <c r="Q130" i="17"/>
  <c r="O130" i="17"/>
  <c r="M130" i="17"/>
  <c r="K130" i="17"/>
  <c r="X129" i="17"/>
  <c r="W129" i="17"/>
  <c r="V129" i="17"/>
  <c r="U129" i="17"/>
  <c r="T129" i="17"/>
  <c r="S129" i="17"/>
  <c r="Q129" i="17"/>
  <c r="O129" i="17"/>
  <c r="M129" i="17"/>
  <c r="K129" i="17"/>
  <c r="X128" i="17"/>
  <c r="W128" i="17"/>
  <c r="V128" i="17"/>
  <c r="U128" i="17"/>
  <c r="T128" i="17"/>
  <c r="S128" i="17"/>
  <c r="Q128" i="17"/>
  <c r="O128" i="17"/>
  <c r="M128" i="17"/>
  <c r="K128" i="17"/>
  <c r="X127" i="17"/>
  <c r="W127" i="17"/>
  <c r="V127" i="17"/>
  <c r="U127" i="17"/>
  <c r="T127" i="17"/>
  <c r="S127" i="17"/>
  <c r="Q127" i="17"/>
  <c r="O127" i="17"/>
  <c r="M127" i="17"/>
  <c r="K127" i="17"/>
  <c r="X126" i="17"/>
  <c r="W126" i="17"/>
  <c r="V126" i="17"/>
  <c r="U126" i="17"/>
  <c r="T126" i="17"/>
  <c r="S126" i="17"/>
  <c r="Q126" i="17"/>
  <c r="O126" i="17"/>
  <c r="M126" i="17"/>
  <c r="K126" i="17"/>
  <c r="X125" i="17"/>
  <c r="W125" i="17"/>
  <c r="V125" i="17"/>
  <c r="U125" i="17"/>
  <c r="T125" i="17"/>
  <c r="S125" i="17"/>
  <c r="Q125" i="17"/>
  <c r="O125" i="17"/>
  <c r="M125" i="17"/>
  <c r="K125" i="17"/>
  <c r="X124" i="17"/>
  <c r="W124" i="17"/>
  <c r="V124" i="17"/>
  <c r="U124" i="17"/>
  <c r="T124" i="17"/>
  <c r="S124" i="17"/>
  <c r="Q124" i="17"/>
  <c r="O124" i="17"/>
  <c r="M124" i="17"/>
  <c r="K124" i="17"/>
  <c r="X123" i="17"/>
  <c r="W123" i="17"/>
  <c r="V123" i="17"/>
  <c r="U123" i="17"/>
  <c r="T123" i="17"/>
  <c r="S123" i="17"/>
  <c r="Q123" i="17"/>
  <c r="O123" i="17"/>
  <c r="M123" i="17"/>
  <c r="K123" i="17"/>
  <c r="X122" i="17"/>
  <c r="W122" i="17"/>
  <c r="V122" i="17"/>
  <c r="U122" i="17"/>
  <c r="T122" i="17"/>
  <c r="S122" i="17"/>
  <c r="Q122" i="17"/>
  <c r="O122" i="17"/>
  <c r="M122" i="17"/>
  <c r="K122" i="17"/>
  <c r="X121" i="17"/>
  <c r="W121" i="17"/>
  <c r="V121" i="17"/>
  <c r="U121" i="17"/>
  <c r="T121" i="17"/>
  <c r="S121" i="17"/>
  <c r="Q121" i="17"/>
  <c r="O121" i="17"/>
  <c r="M121" i="17"/>
  <c r="K121" i="17"/>
  <c r="X120" i="17"/>
  <c r="W120" i="17"/>
  <c r="V120" i="17"/>
  <c r="U120" i="17"/>
  <c r="T120" i="17"/>
  <c r="S120" i="17"/>
  <c r="Q120" i="17"/>
  <c r="O120" i="17"/>
  <c r="M120" i="17"/>
  <c r="K120" i="17"/>
  <c r="X119" i="17"/>
  <c r="W119" i="17"/>
  <c r="V119" i="17"/>
  <c r="U119" i="17"/>
  <c r="T119" i="17"/>
  <c r="S119" i="17"/>
  <c r="Q119" i="17"/>
  <c r="O119" i="17"/>
  <c r="M119" i="17"/>
  <c r="K119" i="17"/>
  <c r="X118" i="17"/>
  <c r="W118" i="17"/>
  <c r="V118" i="17"/>
  <c r="U118" i="17"/>
  <c r="T118" i="17"/>
  <c r="S118" i="17"/>
  <c r="Q118" i="17"/>
  <c r="O118" i="17"/>
  <c r="M118" i="17"/>
  <c r="K118" i="17"/>
  <c r="X117" i="17"/>
  <c r="W117" i="17"/>
  <c r="V117" i="17"/>
  <c r="U117" i="17"/>
  <c r="T117" i="17"/>
  <c r="S117" i="17"/>
  <c r="Q117" i="17"/>
  <c r="O117" i="17"/>
  <c r="M117" i="17"/>
  <c r="K117" i="17"/>
  <c r="X116" i="17"/>
  <c r="W116" i="17"/>
  <c r="V116" i="17"/>
  <c r="U116" i="17"/>
  <c r="T116" i="17"/>
  <c r="S116" i="17"/>
  <c r="Q116" i="17"/>
  <c r="O116" i="17"/>
  <c r="M116" i="17"/>
  <c r="K116" i="17"/>
  <c r="X115" i="17"/>
  <c r="W115" i="17"/>
  <c r="V115" i="17"/>
  <c r="U115" i="17"/>
  <c r="T115" i="17"/>
  <c r="S115" i="17"/>
  <c r="Q115" i="17"/>
  <c r="O115" i="17"/>
  <c r="M115" i="17"/>
  <c r="K115" i="17"/>
  <c r="X114" i="17"/>
  <c r="W114" i="17"/>
  <c r="V114" i="17"/>
  <c r="U114" i="17"/>
  <c r="T114" i="17"/>
  <c r="S114" i="17"/>
  <c r="Q114" i="17"/>
  <c r="O114" i="17"/>
  <c r="M114" i="17"/>
  <c r="K114" i="17"/>
  <c r="X113" i="17"/>
  <c r="W113" i="17"/>
  <c r="V113" i="17"/>
  <c r="U113" i="17"/>
  <c r="T113" i="17"/>
  <c r="S113" i="17"/>
  <c r="Q113" i="17"/>
  <c r="O113" i="17"/>
  <c r="M113" i="17"/>
  <c r="K113" i="17"/>
  <c r="X112" i="17"/>
  <c r="W112" i="17"/>
  <c r="V112" i="17"/>
  <c r="U112" i="17"/>
  <c r="T112" i="17"/>
  <c r="S112" i="17"/>
  <c r="Q112" i="17"/>
  <c r="O112" i="17"/>
  <c r="M112" i="17"/>
  <c r="K112" i="17"/>
  <c r="X111" i="17"/>
  <c r="W111" i="17"/>
  <c r="V111" i="17"/>
  <c r="U111" i="17"/>
  <c r="T111" i="17"/>
  <c r="S111" i="17"/>
  <c r="Q111" i="17"/>
  <c r="O111" i="17"/>
  <c r="M111" i="17"/>
  <c r="K111" i="17"/>
  <c r="X110" i="17"/>
  <c r="W110" i="17"/>
  <c r="V110" i="17"/>
  <c r="U110" i="17"/>
  <c r="T110" i="17"/>
  <c r="S110" i="17"/>
  <c r="Q110" i="17"/>
  <c r="O110" i="17"/>
  <c r="M110" i="17"/>
  <c r="K110" i="17"/>
  <c r="X109" i="17"/>
  <c r="W109" i="17"/>
  <c r="V109" i="17"/>
  <c r="U109" i="17"/>
  <c r="T109" i="17"/>
  <c r="S109" i="17"/>
  <c r="Q109" i="17"/>
  <c r="O109" i="17"/>
  <c r="M109" i="17"/>
  <c r="K109" i="17"/>
  <c r="X108" i="17"/>
  <c r="W108" i="17"/>
  <c r="V108" i="17"/>
  <c r="U108" i="17"/>
  <c r="T108" i="17"/>
  <c r="S108" i="17"/>
  <c r="Q108" i="17"/>
  <c r="O108" i="17"/>
  <c r="M108" i="17"/>
  <c r="K108" i="17"/>
  <c r="X107" i="17"/>
  <c r="W107" i="17"/>
  <c r="V107" i="17"/>
  <c r="U107" i="17"/>
  <c r="T107" i="17"/>
  <c r="S107" i="17"/>
  <c r="Q107" i="17"/>
  <c r="O107" i="17"/>
  <c r="M107" i="17"/>
  <c r="K107" i="17"/>
  <c r="X106" i="17"/>
  <c r="W106" i="17"/>
  <c r="V106" i="17"/>
  <c r="U106" i="17"/>
  <c r="T106" i="17"/>
  <c r="S106" i="17"/>
  <c r="Q106" i="17"/>
  <c r="O106" i="17"/>
  <c r="M106" i="17"/>
  <c r="K106" i="17"/>
  <c r="X105" i="17"/>
  <c r="W105" i="17"/>
  <c r="V105" i="17"/>
  <c r="U105" i="17"/>
  <c r="T105" i="17"/>
  <c r="S105" i="17"/>
  <c r="Q105" i="17"/>
  <c r="O105" i="17"/>
  <c r="M105" i="17"/>
  <c r="K105" i="17"/>
  <c r="X104" i="17"/>
  <c r="W104" i="17"/>
  <c r="V104" i="17"/>
  <c r="U104" i="17"/>
  <c r="T104" i="17"/>
  <c r="S104" i="17"/>
  <c r="Q104" i="17"/>
  <c r="O104" i="17"/>
  <c r="M104" i="17"/>
  <c r="K104" i="17"/>
  <c r="X103" i="17"/>
  <c r="W103" i="17"/>
  <c r="V103" i="17"/>
  <c r="U103" i="17"/>
  <c r="T103" i="17"/>
  <c r="S103" i="17"/>
  <c r="Q103" i="17"/>
  <c r="O103" i="17"/>
  <c r="M103" i="17"/>
  <c r="K103" i="17"/>
  <c r="X102" i="17"/>
  <c r="W102" i="17"/>
  <c r="V102" i="17"/>
  <c r="U102" i="17"/>
  <c r="T102" i="17"/>
  <c r="S102" i="17"/>
  <c r="Q102" i="17"/>
  <c r="O102" i="17"/>
  <c r="M102" i="17"/>
  <c r="K102" i="17"/>
  <c r="X101" i="17"/>
  <c r="W101" i="17"/>
  <c r="V101" i="17"/>
  <c r="U101" i="17"/>
  <c r="T101" i="17"/>
  <c r="S101" i="17"/>
  <c r="Q101" i="17"/>
  <c r="O101" i="17"/>
  <c r="M101" i="17"/>
  <c r="K101" i="17"/>
  <c r="X100" i="17"/>
  <c r="W100" i="17"/>
  <c r="V100" i="17"/>
  <c r="U100" i="17"/>
  <c r="T100" i="17"/>
  <c r="S100" i="17"/>
  <c r="Q100" i="17"/>
  <c r="O100" i="17"/>
  <c r="M100" i="17"/>
  <c r="K100" i="17"/>
  <c r="X99" i="17"/>
  <c r="W99" i="17"/>
  <c r="V99" i="17"/>
  <c r="U99" i="17"/>
  <c r="T99" i="17"/>
  <c r="S99" i="17"/>
  <c r="Q99" i="17"/>
  <c r="O99" i="17"/>
  <c r="M99" i="17"/>
  <c r="K99" i="17"/>
  <c r="X98" i="17"/>
  <c r="W98" i="17"/>
  <c r="V98" i="17"/>
  <c r="U98" i="17"/>
  <c r="T98" i="17"/>
  <c r="S98" i="17"/>
  <c r="Q98" i="17"/>
  <c r="O98" i="17"/>
  <c r="M98" i="17"/>
  <c r="K98" i="17"/>
  <c r="X97" i="17"/>
  <c r="W97" i="17"/>
  <c r="V97" i="17"/>
  <c r="U97" i="17"/>
  <c r="T97" i="17"/>
  <c r="S97" i="17"/>
  <c r="Q97" i="17"/>
  <c r="O97" i="17"/>
  <c r="M97" i="17"/>
  <c r="K97" i="17"/>
  <c r="X96" i="17"/>
  <c r="W96" i="17"/>
  <c r="V96" i="17"/>
  <c r="U96" i="17"/>
  <c r="T96" i="17"/>
  <c r="S96" i="17"/>
  <c r="Q96" i="17"/>
  <c r="O96" i="17"/>
  <c r="M96" i="17"/>
  <c r="K96" i="17"/>
  <c r="X95" i="17"/>
  <c r="W95" i="17"/>
  <c r="V95" i="17"/>
  <c r="U95" i="17"/>
  <c r="T95" i="17"/>
  <c r="S95" i="17"/>
  <c r="Q95" i="17"/>
  <c r="O95" i="17"/>
  <c r="M95" i="17"/>
  <c r="K95" i="17"/>
  <c r="X94" i="17"/>
  <c r="W94" i="17"/>
  <c r="V94" i="17"/>
  <c r="U94" i="17"/>
  <c r="T94" i="17"/>
  <c r="S94" i="17"/>
  <c r="Q94" i="17"/>
  <c r="O94" i="17"/>
  <c r="M94" i="17"/>
  <c r="K94" i="17"/>
  <c r="X93" i="17"/>
  <c r="W93" i="17"/>
  <c r="V93" i="17"/>
  <c r="U93" i="17"/>
  <c r="T93" i="17"/>
  <c r="S93" i="17"/>
  <c r="Q93" i="17"/>
  <c r="O93" i="17"/>
  <c r="M93" i="17"/>
  <c r="K93" i="17"/>
  <c r="X92" i="17"/>
  <c r="W92" i="17"/>
  <c r="V92" i="17"/>
  <c r="U92" i="17"/>
  <c r="T92" i="17"/>
  <c r="S92" i="17"/>
  <c r="Q92" i="17"/>
  <c r="O92" i="17"/>
  <c r="M92" i="17"/>
  <c r="K92" i="17"/>
  <c r="X91" i="17"/>
  <c r="W91" i="17"/>
  <c r="V91" i="17"/>
  <c r="U91" i="17"/>
  <c r="T91" i="17"/>
  <c r="S91" i="17"/>
  <c r="Q91" i="17"/>
  <c r="O91" i="17"/>
  <c r="M91" i="17"/>
  <c r="K91" i="17"/>
  <c r="X90" i="17"/>
  <c r="W90" i="17"/>
  <c r="V90" i="17"/>
  <c r="U90" i="17"/>
  <c r="T90" i="17"/>
  <c r="S90" i="17"/>
  <c r="Q90" i="17"/>
  <c r="O90" i="17"/>
  <c r="M90" i="17"/>
  <c r="K90" i="17"/>
  <c r="X89" i="17"/>
  <c r="W89" i="17"/>
  <c r="V89" i="17"/>
  <c r="U89" i="17"/>
  <c r="T89" i="17"/>
  <c r="S89" i="17"/>
  <c r="Q89" i="17"/>
  <c r="O89" i="17"/>
  <c r="M89" i="17"/>
  <c r="K89" i="17"/>
  <c r="X88" i="17"/>
  <c r="W88" i="17"/>
  <c r="V88" i="17"/>
  <c r="U88" i="17"/>
  <c r="T88" i="17"/>
  <c r="S88" i="17"/>
  <c r="Q88" i="17"/>
  <c r="O88" i="17"/>
  <c r="M88" i="17"/>
  <c r="K88" i="17"/>
  <c r="X87" i="17"/>
  <c r="W87" i="17"/>
  <c r="V87" i="17"/>
  <c r="U87" i="17"/>
  <c r="T87" i="17"/>
  <c r="S87" i="17"/>
  <c r="Q87" i="17"/>
  <c r="O87" i="17"/>
  <c r="M87" i="17"/>
  <c r="K87" i="17"/>
  <c r="X86" i="17"/>
  <c r="W86" i="17"/>
  <c r="V86" i="17"/>
  <c r="U86" i="17"/>
  <c r="T86" i="17"/>
  <c r="S86" i="17"/>
  <c r="Q86" i="17"/>
  <c r="O86" i="17"/>
  <c r="M86" i="17"/>
  <c r="K86" i="17"/>
  <c r="X85" i="17"/>
  <c r="W85" i="17"/>
  <c r="V85" i="17"/>
  <c r="U85" i="17"/>
  <c r="T85" i="17"/>
  <c r="S85" i="17"/>
  <c r="Q85" i="17"/>
  <c r="O85" i="17"/>
  <c r="M85" i="17"/>
  <c r="K85" i="17"/>
  <c r="X84" i="17"/>
  <c r="W84" i="17"/>
  <c r="V84" i="17"/>
  <c r="U84" i="17"/>
  <c r="T84" i="17"/>
  <c r="S84" i="17"/>
  <c r="Q84" i="17"/>
  <c r="O84" i="17"/>
  <c r="M84" i="17"/>
  <c r="K84" i="17"/>
  <c r="X83" i="17"/>
  <c r="W83" i="17"/>
  <c r="V83" i="17"/>
  <c r="U83" i="17"/>
  <c r="T83" i="17"/>
  <c r="S83" i="17"/>
  <c r="Q83" i="17"/>
  <c r="O83" i="17"/>
  <c r="M83" i="17"/>
  <c r="K83" i="17"/>
  <c r="X82" i="17"/>
  <c r="W82" i="17"/>
  <c r="V82" i="17"/>
  <c r="U82" i="17"/>
  <c r="T82" i="17"/>
  <c r="S82" i="17"/>
  <c r="Q82" i="17"/>
  <c r="O82" i="17"/>
  <c r="M82" i="17"/>
  <c r="K82" i="17"/>
  <c r="X81" i="17"/>
  <c r="W81" i="17"/>
  <c r="V81" i="17"/>
  <c r="U81" i="17"/>
  <c r="T81" i="17"/>
  <c r="S81" i="17"/>
  <c r="Q81" i="17"/>
  <c r="O81" i="17"/>
  <c r="M81" i="17"/>
  <c r="K81" i="17"/>
  <c r="X80" i="17"/>
  <c r="W80" i="17"/>
  <c r="V80" i="17"/>
  <c r="U80" i="17"/>
  <c r="T80" i="17"/>
  <c r="S80" i="17"/>
  <c r="Q80" i="17"/>
  <c r="O80" i="17"/>
  <c r="M80" i="17"/>
  <c r="K80" i="17"/>
  <c r="X79" i="17"/>
  <c r="W79" i="17"/>
  <c r="V79" i="17"/>
  <c r="U79" i="17"/>
  <c r="T79" i="17"/>
  <c r="S79" i="17"/>
  <c r="Q79" i="17"/>
  <c r="O79" i="17"/>
  <c r="M79" i="17"/>
  <c r="K79" i="17"/>
  <c r="X78" i="17"/>
  <c r="W78" i="17"/>
  <c r="V78" i="17"/>
  <c r="U78" i="17"/>
  <c r="T78" i="17"/>
  <c r="S78" i="17"/>
  <c r="Q78" i="17"/>
  <c r="O78" i="17"/>
  <c r="M78" i="17"/>
  <c r="K78" i="17"/>
  <c r="X77" i="17"/>
  <c r="W77" i="17"/>
  <c r="V77" i="17"/>
  <c r="U77" i="17"/>
  <c r="T77" i="17"/>
  <c r="S77" i="17"/>
  <c r="Q77" i="17"/>
  <c r="O77" i="17"/>
  <c r="M77" i="17"/>
  <c r="K77" i="17"/>
  <c r="X76" i="17"/>
  <c r="W76" i="17"/>
  <c r="V76" i="17"/>
  <c r="U76" i="17"/>
  <c r="T76" i="17"/>
  <c r="S76" i="17"/>
  <c r="Q76" i="17"/>
  <c r="O76" i="17"/>
  <c r="M76" i="17"/>
  <c r="K76" i="17"/>
  <c r="X75" i="17"/>
  <c r="W75" i="17"/>
  <c r="V75" i="17"/>
  <c r="U75" i="17"/>
  <c r="T75" i="17"/>
  <c r="S75" i="17"/>
  <c r="Q75" i="17"/>
  <c r="O75" i="17"/>
  <c r="M75" i="17"/>
  <c r="K75" i="17"/>
  <c r="X74" i="17"/>
  <c r="W74" i="17"/>
  <c r="V74" i="17"/>
  <c r="U74" i="17"/>
  <c r="T74" i="17"/>
  <c r="S74" i="17"/>
  <c r="Q74" i="17"/>
  <c r="O74" i="17"/>
  <c r="M74" i="17"/>
  <c r="K74" i="17"/>
  <c r="X73" i="17"/>
  <c r="W73" i="17"/>
  <c r="V73" i="17"/>
  <c r="U73" i="17"/>
  <c r="T73" i="17"/>
  <c r="S73" i="17"/>
  <c r="Q73" i="17"/>
  <c r="O73" i="17"/>
  <c r="M73" i="17"/>
  <c r="K73" i="17"/>
  <c r="X72" i="17"/>
  <c r="W72" i="17"/>
  <c r="V72" i="17"/>
  <c r="U72" i="17"/>
  <c r="T72" i="17"/>
  <c r="S72" i="17"/>
  <c r="Q72" i="17"/>
  <c r="O72" i="17"/>
  <c r="M72" i="17"/>
  <c r="K72" i="17"/>
  <c r="X71" i="17"/>
  <c r="W71" i="17"/>
  <c r="V71" i="17"/>
  <c r="U71" i="17"/>
  <c r="T71" i="17"/>
  <c r="S71" i="17"/>
  <c r="Q71" i="17"/>
  <c r="O71" i="17"/>
  <c r="M71" i="17"/>
  <c r="K71" i="17"/>
  <c r="X70" i="17"/>
  <c r="W70" i="17"/>
  <c r="V70" i="17"/>
  <c r="U70" i="17"/>
  <c r="T70" i="17"/>
  <c r="S70" i="17"/>
  <c r="Q70" i="17"/>
  <c r="O70" i="17"/>
  <c r="M70" i="17"/>
  <c r="K70" i="17"/>
  <c r="X69" i="17"/>
  <c r="W69" i="17"/>
  <c r="V69" i="17"/>
  <c r="U69" i="17"/>
  <c r="T69" i="17"/>
  <c r="S69" i="17"/>
  <c r="Q69" i="17"/>
  <c r="O69" i="17"/>
  <c r="M69" i="17"/>
  <c r="K69" i="17"/>
  <c r="X68" i="17"/>
  <c r="W68" i="17"/>
  <c r="V68" i="17"/>
  <c r="U68" i="17"/>
  <c r="T68" i="17"/>
  <c r="S68" i="17"/>
  <c r="Q68" i="17"/>
  <c r="O68" i="17"/>
  <c r="M68" i="17"/>
  <c r="K68" i="17"/>
  <c r="X67" i="17"/>
  <c r="W67" i="17"/>
  <c r="V67" i="17"/>
  <c r="U67" i="17"/>
  <c r="T67" i="17"/>
  <c r="S67" i="17"/>
  <c r="Q67" i="17"/>
  <c r="O67" i="17"/>
  <c r="M67" i="17"/>
  <c r="K67" i="17"/>
  <c r="X66" i="17"/>
  <c r="W66" i="17"/>
  <c r="V66" i="17"/>
  <c r="U66" i="17"/>
  <c r="T66" i="17"/>
  <c r="S66" i="17"/>
  <c r="Q66" i="17"/>
  <c r="O66" i="17"/>
  <c r="M66" i="17"/>
  <c r="K66" i="17"/>
  <c r="X65" i="17"/>
  <c r="W65" i="17"/>
  <c r="V65" i="17"/>
  <c r="U65" i="17"/>
  <c r="T65" i="17"/>
  <c r="S65" i="17"/>
  <c r="Q65" i="17"/>
  <c r="O65" i="17"/>
  <c r="M65" i="17"/>
  <c r="K65" i="17"/>
  <c r="X64" i="17"/>
  <c r="W64" i="17"/>
  <c r="V64" i="17"/>
  <c r="U64" i="17"/>
  <c r="T64" i="17"/>
  <c r="S64" i="17"/>
  <c r="Q64" i="17"/>
  <c r="O64" i="17"/>
  <c r="M64" i="17"/>
  <c r="K64" i="17"/>
  <c r="X63" i="17"/>
  <c r="W63" i="17"/>
  <c r="V63" i="17"/>
  <c r="U63" i="17"/>
  <c r="T63" i="17"/>
  <c r="S63" i="17"/>
  <c r="Q63" i="17"/>
  <c r="O63" i="17"/>
  <c r="M63" i="17"/>
  <c r="K63" i="17"/>
  <c r="X62" i="17"/>
  <c r="W62" i="17"/>
  <c r="V62" i="17"/>
  <c r="U62" i="17"/>
  <c r="T62" i="17"/>
  <c r="S62" i="17"/>
  <c r="Q62" i="17"/>
  <c r="O62" i="17"/>
  <c r="M62" i="17"/>
  <c r="K62" i="17"/>
  <c r="X61" i="17"/>
  <c r="W61" i="17"/>
  <c r="V61" i="17"/>
  <c r="U61" i="17"/>
  <c r="T61" i="17"/>
  <c r="S61" i="17"/>
  <c r="Q61" i="17"/>
  <c r="O61" i="17"/>
  <c r="M61" i="17"/>
  <c r="K61" i="17"/>
  <c r="X60" i="17"/>
  <c r="W60" i="17"/>
  <c r="V60" i="17"/>
  <c r="U60" i="17"/>
  <c r="T60" i="17"/>
  <c r="S60" i="17"/>
  <c r="Q60" i="17"/>
  <c r="O60" i="17"/>
  <c r="M60" i="17"/>
  <c r="K60" i="17"/>
  <c r="X59" i="17"/>
  <c r="W59" i="17"/>
  <c r="V59" i="17"/>
  <c r="U59" i="17"/>
  <c r="T59" i="17"/>
  <c r="S59" i="17"/>
  <c r="Q59" i="17"/>
  <c r="O59" i="17"/>
  <c r="M59" i="17"/>
  <c r="K59" i="17"/>
  <c r="X58" i="17"/>
  <c r="W58" i="17"/>
  <c r="V58" i="17"/>
  <c r="U58" i="17"/>
  <c r="T58" i="17"/>
  <c r="S58" i="17"/>
  <c r="Q58" i="17"/>
  <c r="O58" i="17"/>
  <c r="M58" i="17"/>
  <c r="K58" i="17"/>
  <c r="X57" i="17"/>
  <c r="W57" i="17"/>
  <c r="V57" i="17"/>
  <c r="U57" i="17"/>
  <c r="T57" i="17"/>
  <c r="S57" i="17"/>
  <c r="Q57" i="17"/>
  <c r="O57" i="17"/>
  <c r="M57" i="17"/>
  <c r="K57" i="17"/>
  <c r="X56" i="17"/>
  <c r="W56" i="17"/>
  <c r="V56" i="17"/>
  <c r="U56" i="17"/>
  <c r="T56" i="17"/>
  <c r="S56" i="17"/>
  <c r="Q56" i="17"/>
  <c r="O56" i="17"/>
  <c r="M56" i="17"/>
  <c r="K56" i="17"/>
  <c r="X55" i="17"/>
  <c r="W55" i="17"/>
  <c r="V55" i="17"/>
  <c r="U55" i="17"/>
  <c r="T55" i="17"/>
  <c r="S55" i="17"/>
  <c r="Q55" i="17"/>
  <c r="O55" i="17"/>
  <c r="M55" i="17"/>
  <c r="K55" i="17"/>
  <c r="X54" i="17"/>
  <c r="W54" i="17"/>
  <c r="V54" i="17"/>
  <c r="U54" i="17"/>
  <c r="T54" i="17"/>
  <c r="S54" i="17"/>
  <c r="Q54" i="17"/>
  <c r="O54" i="17"/>
  <c r="M54" i="17"/>
  <c r="K54" i="17"/>
  <c r="X53" i="17"/>
  <c r="W53" i="17"/>
  <c r="V53" i="17"/>
  <c r="U53" i="17"/>
  <c r="T53" i="17"/>
  <c r="S53" i="17"/>
  <c r="Q53" i="17"/>
  <c r="O53" i="17"/>
  <c r="M53" i="17"/>
  <c r="K53" i="17"/>
  <c r="X52" i="17"/>
  <c r="W52" i="17"/>
  <c r="V52" i="17"/>
  <c r="U52" i="17"/>
  <c r="T52" i="17"/>
  <c r="S52" i="17"/>
  <c r="Q52" i="17"/>
  <c r="O52" i="17"/>
  <c r="M52" i="17"/>
  <c r="K52" i="17"/>
  <c r="X51" i="17"/>
  <c r="W51" i="17"/>
  <c r="V51" i="17"/>
  <c r="U51" i="17"/>
  <c r="T51" i="17"/>
  <c r="S51" i="17"/>
  <c r="Q51" i="17"/>
  <c r="O51" i="17"/>
  <c r="M51" i="17"/>
  <c r="K51" i="17"/>
  <c r="X50" i="17"/>
  <c r="W50" i="17"/>
  <c r="V50" i="17"/>
  <c r="U50" i="17"/>
  <c r="T50" i="17"/>
  <c r="S50" i="17"/>
  <c r="Q50" i="17"/>
  <c r="O50" i="17"/>
  <c r="M50" i="17"/>
  <c r="K50" i="17"/>
  <c r="X49" i="17"/>
  <c r="W49" i="17"/>
  <c r="V49" i="17"/>
  <c r="U49" i="17"/>
  <c r="T49" i="17"/>
  <c r="S49" i="17"/>
  <c r="Q49" i="17"/>
  <c r="O49" i="17"/>
  <c r="M49" i="17"/>
  <c r="K49" i="17"/>
  <c r="X48" i="17"/>
  <c r="W48" i="17"/>
  <c r="V48" i="17"/>
  <c r="U48" i="17"/>
  <c r="T48" i="17"/>
  <c r="S48" i="17"/>
  <c r="Q48" i="17"/>
  <c r="O48" i="17"/>
  <c r="M48" i="17"/>
  <c r="K48" i="17"/>
  <c r="X47" i="17"/>
  <c r="W47" i="17"/>
  <c r="V47" i="17"/>
  <c r="U47" i="17"/>
  <c r="T47" i="17"/>
  <c r="S47" i="17"/>
  <c r="Q47" i="17"/>
  <c r="O47" i="17"/>
  <c r="M47" i="17"/>
  <c r="K47" i="17"/>
  <c r="X46" i="17"/>
  <c r="W46" i="17"/>
  <c r="V46" i="17"/>
  <c r="U46" i="17"/>
  <c r="T46" i="17"/>
  <c r="S46" i="17"/>
  <c r="Q46" i="17"/>
  <c r="O46" i="17"/>
  <c r="M46" i="17"/>
  <c r="K46" i="17"/>
  <c r="X45" i="17"/>
  <c r="W45" i="17"/>
  <c r="V45" i="17"/>
  <c r="U45" i="17"/>
  <c r="T45" i="17"/>
  <c r="S45" i="17"/>
  <c r="Q45" i="17"/>
  <c r="O45" i="17"/>
  <c r="M45" i="17"/>
  <c r="K45" i="17"/>
  <c r="X44" i="17"/>
  <c r="W44" i="17"/>
  <c r="V44" i="17"/>
  <c r="U44" i="17"/>
  <c r="T44" i="17"/>
  <c r="S44" i="17"/>
  <c r="Q44" i="17"/>
  <c r="O44" i="17"/>
  <c r="M44" i="17"/>
  <c r="K44" i="17"/>
  <c r="X43" i="17"/>
  <c r="W43" i="17"/>
  <c r="V43" i="17"/>
  <c r="U43" i="17"/>
  <c r="T43" i="17"/>
  <c r="S43" i="17"/>
  <c r="Q43" i="17"/>
  <c r="O43" i="17"/>
  <c r="M43" i="17"/>
  <c r="K43" i="17"/>
  <c r="X42" i="17"/>
  <c r="W42" i="17"/>
  <c r="V42" i="17"/>
  <c r="U42" i="17"/>
  <c r="T42" i="17"/>
  <c r="S42" i="17"/>
  <c r="Q42" i="17"/>
  <c r="O42" i="17"/>
  <c r="M42" i="17"/>
  <c r="K42" i="17"/>
  <c r="X41" i="17"/>
  <c r="W41" i="17"/>
  <c r="V41" i="17"/>
  <c r="U41" i="17"/>
  <c r="T41" i="17"/>
  <c r="S41" i="17"/>
  <c r="Q41" i="17"/>
  <c r="O41" i="17"/>
  <c r="M41" i="17"/>
  <c r="K41" i="17"/>
  <c r="X40" i="17"/>
  <c r="W40" i="17"/>
  <c r="V40" i="17"/>
  <c r="U40" i="17"/>
  <c r="T40" i="17"/>
  <c r="S40" i="17"/>
  <c r="Q40" i="17"/>
  <c r="O40" i="17"/>
  <c r="M40" i="17"/>
  <c r="K40" i="17"/>
  <c r="X39" i="17"/>
  <c r="W39" i="17"/>
  <c r="V39" i="17"/>
  <c r="U39" i="17"/>
  <c r="T39" i="17"/>
  <c r="S39" i="17"/>
  <c r="Q39" i="17"/>
  <c r="O39" i="17"/>
  <c r="M39" i="17"/>
  <c r="K39" i="17"/>
  <c r="X38" i="17"/>
  <c r="W38" i="17"/>
  <c r="V38" i="17"/>
  <c r="U38" i="17"/>
  <c r="T38" i="17"/>
  <c r="S38" i="17"/>
  <c r="Q38" i="17"/>
  <c r="O38" i="17"/>
  <c r="M38" i="17"/>
  <c r="K38" i="17"/>
  <c r="X37" i="17"/>
  <c r="W37" i="17"/>
  <c r="V37" i="17"/>
  <c r="U37" i="17"/>
  <c r="T37" i="17"/>
  <c r="S37" i="17"/>
  <c r="Q37" i="17"/>
  <c r="O37" i="17"/>
  <c r="M37" i="17"/>
  <c r="K37" i="17"/>
  <c r="X36" i="17"/>
  <c r="W36" i="17"/>
  <c r="V36" i="17"/>
  <c r="U36" i="17"/>
  <c r="T36" i="17"/>
  <c r="S36" i="17"/>
  <c r="Q36" i="17"/>
  <c r="O36" i="17"/>
  <c r="M36" i="17"/>
  <c r="K36" i="17"/>
  <c r="X35" i="17"/>
  <c r="W35" i="17"/>
  <c r="V35" i="17"/>
  <c r="U35" i="17"/>
  <c r="T35" i="17"/>
  <c r="S35" i="17"/>
  <c r="Q35" i="17"/>
  <c r="O35" i="17"/>
  <c r="M35" i="17"/>
  <c r="K35" i="17"/>
  <c r="X34" i="17"/>
  <c r="W34" i="17"/>
  <c r="V34" i="17"/>
  <c r="U34" i="17"/>
  <c r="T34" i="17"/>
  <c r="S34" i="17"/>
  <c r="Q34" i="17"/>
  <c r="O34" i="17"/>
  <c r="M34" i="17"/>
  <c r="K34" i="17"/>
  <c r="X33" i="17"/>
  <c r="W33" i="17"/>
  <c r="V33" i="17"/>
  <c r="U33" i="17"/>
  <c r="T33" i="17"/>
  <c r="S33" i="17"/>
  <c r="Q33" i="17"/>
  <c r="O33" i="17"/>
  <c r="M33" i="17"/>
  <c r="K33" i="17"/>
  <c r="X32" i="17"/>
  <c r="W32" i="17"/>
  <c r="V32" i="17"/>
  <c r="U32" i="17"/>
  <c r="T32" i="17"/>
  <c r="S32" i="17"/>
  <c r="Q32" i="17"/>
  <c r="O32" i="17"/>
  <c r="M32" i="17"/>
  <c r="K32" i="17"/>
  <c r="X31" i="17"/>
  <c r="W31" i="17"/>
  <c r="V31" i="17"/>
  <c r="U31" i="17"/>
  <c r="T31" i="17"/>
  <c r="S31" i="17"/>
  <c r="Q31" i="17"/>
  <c r="O31" i="17"/>
  <c r="M31" i="17"/>
  <c r="K31" i="17"/>
  <c r="X30" i="17"/>
  <c r="W30" i="17"/>
  <c r="V30" i="17"/>
  <c r="U30" i="17"/>
  <c r="T30" i="17"/>
  <c r="S30" i="17"/>
  <c r="Q30" i="17"/>
  <c r="O30" i="17"/>
  <c r="M30" i="17"/>
  <c r="K30" i="17"/>
  <c r="X29" i="17"/>
  <c r="W29" i="17"/>
  <c r="V29" i="17"/>
  <c r="U29" i="17"/>
  <c r="T29" i="17"/>
  <c r="S29" i="17"/>
  <c r="Q29" i="17"/>
  <c r="O29" i="17"/>
  <c r="M29" i="17"/>
  <c r="K29" i="17"/>
  <c r="X28" i="17"/>
  <c r="W28" i="17"/>
  <c r="V28" i="17"/>
  <c r="U28" i="17"/>
  <c r="T28" i="17"/>
  <c r="S28" i="17"/>
  <c r="Q28" i="17"/>
  <c r="O28" i="17"/>
  <c r="M28" i="17"/>
  <c r="K28" i="17"/>
  <c r="X27" i="17"/>
  <c r="W27" i="17"/>
  <c r="V27" i="17"/>
  <c r="U27" i="17"/>
  <c r="T27" i="17"/>
  <c r="S27" i="17"/>
  <c r="Q27" i="17"/>
  <c r="O27" i="17"/>
  <c r="M27" i="17"/>
  <c r="K27" i="17"/>
  <c r="X26" i="17"/>
  <c r="W26" i="17"/>
  <c r="V26" i="17"/>
  <c r="U26" i="17"/>
  <c r="T26" i="17"/>
  <c r="S26" i="17"/>
  <c r="Q26" i="17"/>
  <c r="O26" i="17"/>
  <c r="M26" i="17"/>
  <c r="K26" i="17"/>
  <c r="X25" i="17"/>
  <c r="W25" i="17"/>
  <c r="V25" i="17"/>
  <c r="U25" i="17"/>
  <c r="T25" i="17"/>
  <c r="S25" i="17"/>
  <c r="Q25" i="17"/>
  <c r="O25" i="17"/>
  <c r="M25" i="17"/>
  <c r="K25" i="17"/>
  <c r="X24" i="17"/>
  <c r="W24" i="17"/>
  <c r="V24" i="17"/>
  <c r="U24" i="17"/>
  <c r="T24" i="17"/>
  <c r="S24" i="17"/>
  <c r="Q24" i="17"/>
  <c r="O24" i="17"/>
  <c r="M24" i="17"/>
  <c r="K24" i="17"/>
  <c r="X23" i="17"/>
  <c r="W23" i="17"/>
  <c r="V23" i="17"/>
  <c r="U23" i="17"/>
  <c r="T23" i="17"/>
  <c r="S23" i="17"/>
  <c r="Q23" i="17"/>
  <c r="O23" i="17"/>
  <c r="M23" i="17"/>
  <c r="K23" i="17"/>
  <c r="X22" i="17"/>
  <c r="W22" i="17"/>
  <c r="V22" i="17"/>
  <c r="U22" i="17"/>
  <c r="T22" i="17"/>
  <c r="S22" i="17"/>
  <c r="Q22" i="17"/>
  <c r="O22" i="17"/>
  <c r="M22" i="17"/>
  <c r="K22" i="17"/>
  <c r="X21" i="17"/>
  <c r="W21" i="17"/>
  <c r="V21" i="17"/>
  <c r="U21" i="17"/>
  <c r="T21" i="17"/>
  <c r="S21" i="17"/>
  <c r="Q21" i="17"/>
  <c r="O21" i="17"/>
  <c r="M21" i="17"/>
  <c r="K21" i="17"/>
  <c r="X20" i="17"/>
  <c r="W20" i="17"/>
  <c r="V20" i="17"/>
  <c r="U20" i="17"/>
  <c r="T20" i="17"/>
  <c r="S20" i="17"/>
  <c r="Q20" i="17"/>
  <c r="O20" i="17"/>
  <c r="M20" i="17"/>
  <c r="K20" i="17"/>
  <c r="X19" i="17"/>
  <c r="W19" i="17"/>
  <c r="V19" i="17"/>
  <c r="U19" i="17"/>
  <c r="T19" i="17"/>
  <c r="S19" i="17"/>
  <c r="Q19" i="17"/>
  <c r="O19" i="17"/>
  <c r="M19" i="17"/>
  <c r="K19" i="17"/>
  <c r="X18" i="17"/>
  <c r="W18" i="17"/>
  <c r="V18" i="17"/>
  <c r="U18" i="17"/>
  <c r="T18" i="17"/>
  <c r="S18" i="17"/>
  <c r="Q18" i="17"/>
  <c r="O18" i="17"/>
  <c r="M18" i="17"/>
  <c r="K18" i="17"/>
  <c r="X17" i="17"/>
  <c r="W17" i="17"/>
  <c r="V17" i="17"/>
  <c r="U17" i="17"/>
  <c r="T17" i="17"/>
  <c r="S17" i="17"/>
  <c r="Q17" i="17"/>
  <c r="O17" i="17"/>
  <c r="M17" i="17"/>
  <c r="K17" i="17"/>
  <c r="X16" i="17"/>
  <c r="W16" i="17"/>
  <c r="V16" i="17"/>
  <c r="U16" i="17"/>
  <c r="T16" i="17"/>
  <c r="S16" i="17"/>
  <c r="Q16" i="17"/>
  <c r="O16" i="17"/>
  <c r="M16" i="17"/>
  <c r="K16" i="17"/>
  <c r="X15" i="17"/>
  <c r="W15" i="17"/>
  <c r="V15" i="17"/>
  <c r="U15" i="17"/>
  <c r="T15" i="17"/>
  <c r="S15" i="17"/>
  <c r="Q15" i="17"/>
  <c r="O15" i="17"/>
  <c r="M15" i="17"/>
  <c r="K15" i="17"/>
  <c r="X14" i="17"/>
  <c r="W14" i="17"/>
  <c r="V14" i="17"/>
  <c r="U14" i="17"/>
  <c r="T14" i="17"/>
  <c r="S14" i="17"/>
  <c r="Q14" i="17"/>
  <c r="O14" i="17"/>
  <c r="M14" i="17"/>
  <c r="K14" i="17"/>
  <c r="X13" i="17"/>
  <c r="W13" i="17"/>
  <c r="V13" i="17"/>
  <c r="U13" i="17"/>
  <c r="T13" i="17"/>
  <c r="S13" i="17"/>
  <c r="Q13" i="17"/>
  <c r="O13" i="17"/>
  <c r="M13" i="17"/>
  <c r="K13" i="17"/>
  <c r="X12" i="17"/>
  <c r="W12" i="17"/>
  <c r="V12" i="17"/>
  <c r="U12" i="17"/>
  <c r="T12" i="17"/>
  <c r="S12" i="17"/>
  <c r="Q12" i="17"/>
  <c r="O12" i="17"/>
  <c r="M12" i="17"/>
  <c r="K12" i="17"/>
  <c r="X11" i="17"/>
  <c r="W11" i="17"/>
  <c r="V11" i="17"/>
  <c r="U11" i="17"/>
  <c r="T11" i="17"/>
  <c r="S11" i="17"/>
  <c r="Q11" i="17"/>
  <c r="O11" i="17"/>
  <c r="M11" i="17"/>
  <c r="K11" i="17"/>
  <c r="X10" i="17"/>
  <c r="W10" i="17"/>
  <c r="V10" i="17"/>
  <c r="U10" i="17"/>
  <c r="T10" i="17"/>
  <c r="S10" i="17"/>
  <c r="Q10" i="17"/>
  <c r="O10" i="17"/>
  <c r="M10" i="17"/>
  <c r="K10" i="17"/>
  <c r="X9" i="17"/>
  <c r="W9" i="17"/>
  <c r="V9" i="17"/>
  <c r="U9" i="17"/>
  <c r="T9" i="17"/>
  <c r="S9" i="17"/>
  <c r="Q9" i="17"/>
  <c r="O9" i="17"/>
  <c r="M9" i="17"/>
  <c r="K9" i="17"/>
  <c r="X8" i="17"/>
  <c r="W8" i="17"/>
  <c r="V8" i="17"/>
  <c r="U8" i="17"/>
  <c r="T8" i="17"/>
  <c r="S8" i="17"/>
  <c r="Q8" i="17"/>
  <c r="O8" i="17"/>
  <c r="M8" i="17"/>
  <c r="K8" i="17"/>
  <c r="X7" i="17"/>
  <c r="W7" i="17"/>
  <c r="V7" i="17"/>
  <c r="U7" i="17"/>
  <c r="T7" i="17"/>
  <c r="S7" i="17"/>
  <c r="Q7" i="17"/>
  <c r="O7" i="17"/>
  <c r="M7" i="17"/>
  <c r="K7" i="17"/>
  <c r="X296" i="16"/>
  <c r="W296" i="16"/>
  <c r="V296" i="16"/>
  <c r="U296" i="16"/>
  <c r="T296" i="16"/>
  <c r="S296" i="16"/>
  <c r="Q296" i="16"/>
  <c r="O296" i="16"/>
  <c r="M296" i="16"/>
  <c r="K296" i="16"/>
  <c r="X295" i="16"/>
  <c r="W295" i="16"/>
  <c r="V295" i="16"/>
  <c r="U295" i="16"/>
  <c r="T295" i="16"/>
  <c r="S295" i="16"/>
  <c r="Q295" i="16"/>
  <c r="O295" i="16"/>
  <c r="M295" i="16"/>
  <c r="K295" i="16"/>
  <c r="X294" i="16"/>
  <c r="W294" i="16"/>
  <c r="V294" i="16"/>
  <c r="U294" i="16"/>
  <c r="T294" i="16"/>
  <c r="S294" i="16"/>
  <c r="Q294" i="16"/>
  <c r="O294" i="16"/>
  <c r="M294" i="16"/>
  <c r="K294" i="16"/>
  <c r="X293" i="16"/>
  <c r="W293" i="16"/>
  <c r="V293" i="16"/>
  <c r="U293" i="16"/>
  <c r="T293" i="16"/>
  <c r="S293" i="16"/>
  <c r="Q293" i="16"/>
  <c r="O293" i="16"/>
  <c r="M293" i="16"/>
  <c r="K293" i="16"/>
  <c r="X292" i="16"/>
  <c r="W292" i="16"/>
  <c r="V292" i="16"/>
  <c r="U292" i="16"/>
  <c r="T292" i="16"/>
  <c r="S292" i="16"/>
  <c r="Q292" i="16"/>
  <c r="O292" i="16"/>
  <c r="M292" i="16"/>
  <c r="K292" i="16"/>
  <c r="X291" i="16"/>
  <c r="W291" i="16"/>
  <c r="V291" i="16"/>
  <c r="U291" i="16"/>
  <c r="T291" i="16"/>
  <c r="S291" i="16"/>
  <c r="Q291" i="16"/>
  <c r="O291" i="16"/>
  <c r="M291" i="16"/>
  <c r="K291" i="16"/>
  <c r="X290" i="16"/>
  <c r="W290" i="16"/>
  <c r="V290" i="16"/>
  <c r="U290" i="16"/>
  <c r="T290" i="16"/>
  <c r="S290" i="16"/>
  <c r="Q290" i="16"/>
  <c r="O290" i="16"/>
  <c r="M290" i="16"/>
  <c r="K290" i="16"/>
  <c r="X289" i="16"/>
  <c r="W289" i="16"/>
  <c r="V289" i="16"/>
  <c r="U289" i="16"/>
  <c r="T289" i="16"/>
  <c r="S289" i="16"/>
  <c r="Q289" i="16"/>
  <c r="O289" i="16"/>
  <c r="M289" i="16"/>
  <c r="K289" i="16"/>
  <c r="X288" i="16"/>
  <c r="W288" i="16"/>
  <c r="V288" i="16"/>
  <c r="U288" i="16"/>
  <c r="T288" i="16"/>
  <c r="S288" i="16"/>
  <c r="Q288" i="16"/>
  <c r="O288" i="16"/>
  <c r="M288" i="16"/>
  <c r="K288" i="16"/>
  <c r="X287" i="16"/>
  <c r="W287" i="16"/>
  <c r="V287" i="16"/>
  <c r="U287" i="16"/>
  <c r="T287" i="16"/>
  <c r="S287" i="16"/>
  <c r="Q287" i="16"/>
  <c r="O287" i="16"/>
  <c r="M287" i="16"/>
  <c r="K287" i="16"/>
  <c r="X286" i="16"/>
  <c r="W286" i="16"/>
  <c r="V286" i="16"/>
  <c r="U286" i="16"/>
  <c r="T286" i="16"/>
  <c r="S286" i="16"/>
  <c r="Q286" i="16"/>
  <c r="O286" i="16"/>
  <c r="M286" i="16"/>
  <c r="K286" i="16"/>
  <c r="X285" i="16"/>
  <c r="W285" i="16"/>
  <c r="V285" i="16"/>
  <c r="U285" i="16"/>
  <c r="T285" i="16"/>
  <c r="S285" i="16"/>
  <c r="Q285" i="16"/>
  <c r="O285" i="16"/>
  <c r="M285" i="16"/>
  <c r="K285" i="16"/>
  <c r="X284" i="16"/>
  <c r="W284" i="16"/>
  <c r="V284" i="16"/>
  <c r="U284" i="16"/>
  <c r="T284" i="16"/>
  <c r="S284" i="16"/>
  <c r="Q284" i="16"/>
  <c r="O284" i="16"/>
  <c r="M284" i="16"/>
  <c r="K284" i="16"/>
  <c r="X283" i="16"/>
  <c r="W283" i="16"/>
  <c r="V283" i="16"/>
  <c r="U283" i="16"/>
  <c r="T283" i="16"/>
  <c r="S283" i="16"/>
  <c r="Q283" i="16"/>
  <c r="O283" i="16"/>
  <c r="M283" i="16"/>
  <c r="K283" i="16"/>
  <c r="X282" i="16"/>
  <c r="W282" i="16"/>
  <c r="V282" i="16"/>
  <c r="U282" i="16"/>
  <c r="T282" i="16"/>
  <c r="S282" i="16"/>
  <c r="Q282" i="16"/>
  <c r="O282" i="16"/>
  <c r="M282" i="16"/>
  <c r="K282" i="16"/>
  <c r="X281" i="16"/>
  <c r="W281" i="16"/>
  <c r="V281" i="16"/>
  <c r="U281" i="16"/>
  <c r="T281" i="16"/>
  <c r="S281" i="16"/>
  <c r="Q281" i="16"/>
  <c r="O281" i="16"/>
  <c r="M281" i="16"/>
  <c r="K281" i="16"/>
  <c r="X280" i="16"/>
  <c r="W280" i="16"/>
  <c r="V280" i="16"/>
  <c r="U280" i="16"/>
  <c r="T280" i="16"/>
  <c r="S280" i="16"/>
  <c r="Q280" i="16"/>
  <c r="O280" i="16"/>
  <c r="M280" i="16"/>
  <c r="K280" i="16"/>
  <c r="X279" i="16"/>
  <c r="W279" i="16"/>
  <c r="V279" i="16"/>
  <c r="U279" i="16"/>
  <c r="T279" i="16"/>
  <c r="S279" i="16"/>
  <c r="Q279" i="16"/>
  <c r="O279" i="16"/>
  <c r="M279" i="16"/>
  <c r="K279" i="16"/>
  <c r="X278" i="16"/>
  <c r="W278" i="16"/>
  <c r="V278" i="16"/>
  <c r="U278" i="16"/>
  <c r="T278" i="16"/>
  <c r="S278" i="16"/>
  <c r="Q278" i="16"/>
  <c r="O278" i="16"/>
  <c r="M278" i="16"/>
  <c r="K278" i="16"/>
  <c r="X277" i="16"/>
  <c r="W277" i="16"/>
  <c r="V277" i="16"/>
  <c r="U277" i="16"/>
  <c r="T277" i="16"/>
  <c r="S277" i="16"/>
  <c r="Q277" i="16"/>
  <c r="O277" i="16"/>
  <c r="M277" i="16"/>
  <c r="K277" i="16"/>
  <c r="X276" i="16"/>
  <c r="W276" i="16"/>
  <c r="V276" i="16"/>
  <c r="U276" i="16"/>
  <c r="T276" i="16"/>
  <c r="S276" i="16"/>
  <c r="Q276" i="16"/>
  <c r="O276" i="16"/>
  <c r="M276" i="16"/>
  <c r="K276" i="16"/>
  <c r="X275" i="16"/>
  <c r="W275" i="16"/>
  <c r="V275" i="16"/>
  <c r="U275" i="16"/>
  <c r="T275" i="16"/>
  <c r="S275" i="16"/>
  <c r="Q275" i="16"/>
  <c r="O275" i="16"/>
  <c r="M275" i="16"/>
  <c r="K275" i="16"/>
  <c r="X274" i="16"/>
  <c r="W274" i="16"/>
  <c r="V274" i="16"/>
  <c r="U274" i="16"/>
  <c r="T274" i="16"/>
  <c r="S274" i="16"/>
  <c r="Q274" i="16"/>
  <c r="O274" i="16"/>
  <c r="M274" i="16"/>
  <c r="K274" i="16"/>
  <c r="X273" i="16"/>
  <c r="W273" i="16"/>
  <c r="V273" i="16"/>
  <c r="U273" i="16"/>
  <c r="T273" i="16"/>
  <c r="S273" i="16"/>
  <c r="Q273" i="16"/>
  <c r="O273" i="16"/>
  <c r="M273" i="16"/>
  <c r="K273" i="16"/>
  <c r="X272" i="16"/>
  <c r="W272" i="16"/>
  <c r="V272" i="16"/>
  <c r="U272" i="16"/>
  <c r="T272" i="16"/>
  <c r="S272" i="16"/>
  <c r="Q272" i="16"/>
  <c r="O272" i="16"/>
  <c r="M272" i="16"/>
  <c r="K272" i="16"/>
  <c r="X271" i="16"/>
  <c r="W271" i="16"/>
  <c r="V271" i="16"/>
  <c r="U271" i="16"/>
  <c r="T271" i="16"/>
  <c r="S271" i="16"/>
  <c r="Q271" i="16"/>
  <c r="O271" i="16"/>
  <c r="M271" i="16"/>
  <c r="K271" i="16"/>
  <c r="X270" i="16"/>
  <c r="W270" i="16"/>
  <c r="V270" i="16"/>
  <c r="U270" i="16"/>
  <c r="T270" i="16"/>
  <c r="S270" i="16"/>
  <c r="Q270" i="16"/>
  <c r="O270" i="16"/>
  <c r="M270" i="16"/>
  <c r="K270" i="16"/>
  <c r="X269" i="16"/>
  <c r="W269" i="16"/>
  <c r="V269" i="16"/>
  <c r="U269" i="16"/>
  <c r="T269" i="16"/>
  <c r="S269" i="16"/>
  <c r="Q269" i="16"/>
  <c r="O269" i="16"/>
  <c r="M269" i="16"/>
  <c r="K269" i="16"/>
  <c r="X268" i="16"/>
  <c r="W268" i="16"/>
  <c r="V268" i="16"/>
  <c r="U268" i="16"/>
  <c r="T268" i="16"/>
  <c r="S268" i="16"/>
  <c r="Q268" i="16"/>
  <c r="O268" i="16"/>
  <c r="M268" i="16"/>
  <c r="K268" i="16"/>
  <c r="X267" i="16"/>
  <c r="W267" i="16"/>
  <c r="V267" i="16"/>
  <c r="U267" i="16"/>
  <c r="T267" i="16"/>
  <c r="S267" i="16"/>
  <c r="Q267" i="16"/>
  <c r="O267" i="16"/>
  <c r="M267" i="16"/>
  <c r="K267" i="16"/>
  <c r="X266" i="16"/>
  <c r="W266" i="16"/>
  <c r="V266" i="16"/>
  <c r="U266" i="16"/>
  <c r="T266" i="16"/>
  <c r="S266" i="16"/>
  <c r="Q266" i="16"/>
  <c r="O266" i="16"/>
  <c r="M266" i="16"/>
  <c r="K266" i="16"/>
  <c r="X265" i="16"/>
  <c r="W265" i="16"/>
  <c r="V265" i="16"/>
  <c r="U265" i="16"/>
  <c r="T265" i="16"/>
  <c r="S265" i="16"/>
  <c r="Q265" i="16"/>
  <c r="O265" i="16"/>
  <c r="M265" i="16"/>
  <c r="K265" i="16"/>
  <c r="X264" i="16"/>
  <c r="W264" i="16"/>
  <c r="V264" i="16"/>
  <c r="U264" i="16"/>
  <c r="T264" i="16"/>
  <c r="S264" i="16"/>
  <c r="Q264" i="16"/>
  <c r="O264" i="16"/>
  <c r="M264" i="16"/>
  <c r="K264" i="16"/>
  <c r="X263" i="16"/>
  <c r="W263" i="16"/>
  <c r="V263" i="16"/>
  <c r="U263" i="16"/>
  <c r="T263" i="16"/>
  <c r="S263" i="16"/>
  <c r="Q263" i="16"/>
  <c r="O263" i="16"/>
  <c r="M263" i="16"/>
  <c r="K263" i="16"/>
  <c r="X262" i="16"/>
  <c r="W262" i="16"/>
  <c r="V262" i="16"/>
  <c r="U262" i="16"/>
  <c r="T262" i="16"/>
  <c r="S262" i="16"/>
  <c r="Q262" i="16"/>
  <c r="O262" i="16"/>
  <c r="M262" i="16"/>
  <c r="K262" i="16"/>
  <c r="X261" i="16"/>
  <c r="W261" i="16"/>
  <c r="V261" i="16"/>
  <c r="U261" i="16"/>
  <c r="T261" i="16"/>
  <c r="S261" i="16"/>
  <c r="Q261" i="16"/>
  <c r="O261" i="16"/>
  <c r="M261" i="16"/>
  <c r="K261" i="16"/>
  <c r="X260" i="16"/>
  <c r="W260" i="16"/>
  <c r="V260" i="16"/>
  <c r="U260" i="16"/>
  <c r="T260" i="16"/>
  <c r="S260" i="16"/>
  <c r="Q260" i="16"/>
  <c r="O260" i="16"/>
  <c r="M260" i="16"/>
  <c r="K260" i="16"/>
  <c r="X259" i="16"/>
  <c r="W259" i="16"/>
  <c r="V259" i="16"/>
  <c r="U259" i="16"/>
  <c r="T259" i="16"/>
  <c r="S259" i="16"/>
  <c r="Q259" i="16"/>
  <c r="O259" i="16"/>
  <c r="M259" i="16"/>
  <c r="K259" i="16"/>
  <c r="X258" i="16"/>
  <c r="W258" i="16"/>
  <c r="V258" i="16"/>
  <c r="U258" i="16"/>
  <c r="T258" i="16"/>
  <c r="S258" i="16"/>
  <c r="Q258" i="16"/>
  <c r="O258" i="16"/>
  <c r="M258" i="16"/>
  <c r="K258" i="16"/>
  <c r="X257" i="16"/>
  <c r="W257" i="16"/>
  <c r="V257" i="16"/>
  <c r="U257" i="16"/>
  <c r="T257" i="16"/>
  <c r="S257" i="16"/>
  <c r="Q257" i="16"/>
  <c r="O257" i="16"/>
  <c r="M257" i="16"/>
  <c r="K257" i="16"/>
  <c r="X256" i="16"/>
  <c r="W256" i="16"/>
  <c r="V256" i="16"/>
  <c r="U256" i="16"/>
  <c r="T256" i="16"/>
  <c r="S256" i="16"/>
  <c r="Q256" i="16"/>
  <c r="O256" i="16"/>
  <c r="M256" i="16"/>
  <c r="K256" i="16"/>
  <c r="X255" i="16"/>
  <c r="W255" i="16"/>
  <c r="V255" i="16"/>
  <c r="U255" i="16"/>
  <c r="T255" i="16"/>
  <c r="S255" i="16"/>
  <c r="Q255" i="16"/>
  <c r="O255" i="16"/>
  <c r="M255" i="16"/>
  <c r="K255" i="16"/>
  <c r="X254" i="16"/>
  <c r="W254" i="16"/>
  <c r="V254" i="16"/>
  <c r="U254" i="16"/>
  <c r="T254" i="16"/>
  <c r="S254" i="16"/>
  <c r="Q254" i="16"/>
  <c r="O254" i="16"/>
  <c r="M254" i="16"/>
  <c r="K254" i="16"/>
  <c r="X253" i="16"/>
  <c r="W253" i="16"/>
  <c r="V253" i="16"/>
  <c r="U253" i="16"/>
  <c r="T253" i="16"/>
  <c r="S253" i="16"/>
  <c r="Q253" i="16"/>
  <c r="O253" i="16"/>
  <c r="M253" i="16"/>
  <c r="K253" i="16"/>
  <c r="X252" i="16"/>
  <c r="W252" i="16"/>
  <c r="V252" i="16"/>
  <c r="U252" i="16"/>
  <c r="T252" i="16"/>
  <c r="S252" i="16"/>
  <c r="Q252" i="16"/>
  <c r="O252" i="16"/>
  <c r="M252" i="16"/>
  <c r="K252" i="16"/>
  <c r="X251" i="16"/>
  <c r="W251" i="16"/>
  <c r="V251" i="16"/>
  <c r="U251" i="16"/>
  <c r="T251" i="16"/>
  <c r="S251" i="16"/>
  <c r="Q251" i="16"/>
  <c r="O251" i="16"/>
  <c r="M251" i="16"/>
  <c r="K251" i="16"/>
  <c r="X250" i="16"/>
  <c r="W250" i="16"/>
  <c r="V250" i="16"/>
  <c r="U250" i="16"/>
  <c r="T250" i="16"/>
  <c r="S250" i="16"/>
  <c r="Q250" i="16"/>
  <c r="O250" i="16"/>
  <c r="M250" i="16"/>
  <c r="K250" i="16"/>
  <c r="X249" i="16"/>
  <c r="W249" i="16"/>
  <c r="V249" i="16"/>
  <c r="U249" i="16"/>
  <c r="T249" i="16"/>
  <c r="S249" i="16"/>
  <c r="Q249" i="16"/>
  <c r="O249" i="16"/>
  <c r="M249" i="16"/>
  <c r="K249" i="16"/>
  <c r="X248" i="16"/>
  <c r="W248" i="16"/>
  <c r="V248" i="16"/>
  <c r="U248" i="16"/>
  <c r="T248" i="16"/>
  <c r="S248" i="16"/>
  <c r="Q248" i="16"/>
  <c r="O248" i="16"/>
  <c r="M248" i="16"/>
  <c r="K248" i="16"/>
  <c r="X247" i="16"/>
  <c r="W247" i="16"/>
  <c r="V247" i="16"/>
  <c r="U247" i="16"/>
  <c r="T247" i="16"/>
  <c r="S247" i="16"/>
  <c r="Q247" i="16"/>
  <c r="O247" i="16"/>
  <c r="M247" i="16"/>
  <c r="K247" i="16"/>
  <c r="X246" i="16"/>
  <c r="W246" i="16"/>
  <c r="V246" i="16"/>
  <c r="U246" i="16"/>
  <c r="T246" i="16"/>
  <c r="S246" i="16"/>
  <c r="Q246" i="16"/>
  <c r="O246" i="16"/>
  <c r="M246" i="16"/>
  <c r="K246" i="16"/>
  <c r="X245" i="16"/>
  <c r="W245" i="16"/>
  <c r="V245" i="16"/>
  <c r="U245" i="16"/>
  <c r="T245" i="16"/>
  <c r="S245" i="16"/>
  <c r="Q245" i="16"/>
  <c r="O245" i="16"/>
  <c r="M245" i="16"/>
  <c r="K245" i="16"/>
  <c r="X244" i="16"/>
  <c r="W244" i="16"/>
  <c r="V244" i="16"/>
  <c r="U244" i="16"/>
  <c r="T244" i="16"/>
  <c r="S244" i="16"/>
  <c r="Q244" i="16"/>
  <c r="O244" i="16"/>
  <c r="M244" i="16"/>
  <c r="K244" i="16"/>
  <c r="X243" i="16"/>
  <c r="W243" i="16"/>
  <c r="V243" i="16"/>
  <c r="U243" i="16"/>
  <c r="T243" i="16"/>
  <c r="S243" i="16"/>
  <c r="Q243" i="16"/>
  <c r="O243" i="16"/>
  <c r="M243" i="16"/>
  <c r="K243" i="16"/>
  <c r="X242" i="16"/>
  <c r="W242" i="16"/>
  <c r="V242" i="16"/>
  <c r="U242" i="16"/>
  <c r="T242" i="16"/>
  <c r="S242" i="16"/>
  <c r="Q242" i="16"/>
  <c r="O242" i="16"/>
  <c r="M242" i="16"/>
  <c r="K242" i="16"/>
  <c r="X241" i="16"/>
  <c r="W241" i="16"/>
  <c r="V241" i="16"/>
  <c r="U241" i="16"/>
  <c r="T241" i="16"/>
  <c r="S241" i="16"/>
  <c r="Q241" i="16"/>
  <c r="O241" i="16"/>
  <c r="M241" i="16"/>
  <c r="K241" i="16"/>
  <c r="X240" i="16"/>
  <c r="W240" i="16"/>
  <c r="V240" i="16"/>
  <c r="U240" i="16"/>
  <c r="T240" i="16"/>
  <c r="S240" i="16"/>
  <c r="Q240" i="16"/>
  <c r="O240" i="16"/>
  <c r="M240" i="16"/>
  <c r="K240" i="16"/>
  <c r="X239" i="16"/>
  <c r="W239" i="16"/>
  <c r="V239" i="16"/>
  <c r="U239" i="16"/>
  <c r="T239" i="16"/>
  <c r="S239" i="16"/>
  <c r="Q239" i="16"/>
  <c r="O239" i="16"/>
  <c r="M239" i="16"/>
  <c r="K239" i="16"/>
  <c r="X238" i="16"/>
  <c r="W238" i="16"/>
  <c r="V238" i="16"/>
  <c r="U238" i="16"/>
  <c r="T238" i="16"/>
  <c r="S238" i="16"/>
  <c r="Q238" i="16"/>
  <c r="O238" i="16"/>
  <c r="M238" i="16"/>
  <c r="K238" i="16"/>
  <c r="X237" i="16"/>
  <c r="W237" i="16"/>
  <c r="V237" i="16"/>
  <c r="U237" i="16"/>
  <c r="T237" i="16"/>
  <c r="S237" i="16"/>
  <c r="Q237" i="16"/>
  <c r="O237" i="16"/>
  <c r="M237" i="16"/>
  <c r="K237" i="16"/>
  <c r="X236" i="16"/>
  <c r="W236" i="16"/>
  <c r="V236" i="16"/>
  <c r="U236" i="16"/>
  <c r="T236" i="16"/>
  <c r="S236" i="16"/>
  <c r="Q236" i="16"/>
  <c r="O236" i="16"/>
  <c r="M236" i="16"/>
  <c r="K236" i="16"/>
  <c r="X235" i="16"/>
  <c r="W235" i="16"/>
  <c r="V235" i="16"/>
  <c r="U235" i="16"/>
  <c r="T235" i="16"/>
  <c r="S235" i="16"/>
  <c r="Q235" i="16"/>
  <c r="O235" i="16"/>
  <c r="M235" i="16"/>
  <c r="K235" i="16"/>
  <c r="X234" i="16"/>
  <c r="W234" i="16"/>
  <c r="V234" i="16"/>
  <c r="U234" i="16"/>
  <c r="T234" i="16"/>
  <c r="S234" i="16"/>
  <c r="Q234" i="16"/>
  <c r="O234" i="16"/>
  <c r="M234" i="16"/>
  <c r="K234" i="16"/>
  <c r="X233" i="16"/>
  <c r="W233" i="16"/>
  <c r="V233" i="16"/>
  <c r="U233" i="16"/>
  <c r="T233" i="16"/>
  <c r="S233" i="16"/>
  <c r="Q233" i="16"/>
  <c r="O233" i="16"/>
  <c r="M233" i="16"/>
  <c r="K233" i="16"/>
  <c r="X232" i="16"/>
  <c r="W232" i="16"/>
  <c r="V232" i="16"/>
  <c r="U232" i="16"/>
  <c r="T232" i="16"/>
  <c r="S232" i="16"/>
  <c r="Q232" i="16"/>
  <c r="O232" i="16"/>
  <c r="M232" i="16"/>
  <c r="K232" i="16"/>
  <c r="X231" i="16"/>
  <c r="W231" i="16"/>
  <c r="V231" i="16"/>
  <c r="U231" i="16"/>
  <c r="T231" i="16"/>
  <c r="S231" i="16"/>
  <c r="Q231" i="16"/>
  <c r="O231" i="16"/>
  <c r="M231" i="16"/>
  <c r="K231" i="16"/>
  <c r="X230" i="16"/>
  <c r="W230" i="16"/>
  <c r="V230" i="16"/>
  <c r="U230" i="16"/>
  <c r="T230" i="16"/>
  <c r="S230" i="16"/>
  <c r="Q230" i="16"/>
  <c r="O230" i="16"/>
  <c r="M230" i="16"/>
  <c r="K230" i="16"/>
  <c r="X229" i="16"/>
  <c r="W229" i="16"/>
  <c r="V229" i="16"/>
  <c r="U229" i="16"/>
  <c r="T229" i="16"/>
  <c r="S229" i="16"/>
  <c r="Q229" i="16"/>
  <c r="O229" i="16"/>
  <c r="M229" i="16"/>
  <c r="K229" i="16"/>
  <c r="X228" i="16"/>
  <c r="W228" i="16"/>
  <c r="V228" i="16"/>
  <c r="U228" i="16"/>
  <c r="T228" i="16"/>
  <c r="S228" i="16"/>
  <c r="Q228" i="16"/>
  <c r="O228" i="16"/>
  <c r="M228" i="16"/>
  <c r="K228" i="16"/>
  <c r="X227" i="16"/>
  <c r="W227" i="16"/>
  <c r="V227" i="16"/>
  <c r="U227" i="16"/>
  <c r="T227" i="16"/>
  <c r="S227" i="16"/>
  <c r="Q227" i="16"/>
  <c r="O227" i="16"/>
  <c r="M227" i="16"/>
  <c r="K227" i="16"/>
  <c r="X226" i="16"/>
  <c r="W226" i="16"/>
  <c r="V226" i="16"/>
  <c r="U226" i="16"/>
  <c r="T226" i="16"/>
  <c r="S226" i="16"/>
  <c r="Q226" i="16"/>
  <c r="O226" i="16"/>
  <c r="M226" i="16"/>
  <c r="K226" i="16"/>
  <c r="X225" i="16"/>
  <c r="W225" i="16"/>
  <c r="V225" i="16"/>
  <c r="U225" i="16"/>
  <c r="T225" i="16"/>
  <c r="S225" i="16"/>
  <c r="Q225" i="16"/>
  <c r="O225" i="16"/>
  <c r="M225" i="16"/>
  <c r="K225" i="16"/>
  <c r="X224" i="16"/>
  <c r="W224" i="16"/>
  <c r="V224" i="16"/>
  <c r="U224" i="16"/>
  <c r="T224" i="16"/>
  <c r="S224" i="16"/>
  <c r="Q224" i="16"/>
  <c r="O224" i="16"/>
  <c r="M224" i="16"/>
  <c r="K224" i="16"/>
  <c r="X223" i="16"/>
  <c r="W223" i="16"/>
  <c r="V223" i="16"/>
  <c r="U223" i="16"/>
  <c r="T223" i="16"/>
  <c r="S223" i="16"/>
  <c r="Q223" i="16"/>
  <c r="O223" i="16"/>
  <c r="M223" i="16"/>
  <c r="K223" i="16"/>
  <c r="X222" i="16"/>
  <c r="W222" i="16"/>
  <c r="V222" i="16"/>
  <c r="U222" i="16"/>
  <c r="T222" i="16"/>
  <c r="S222" i="16"/>
  <c r="Q222" i="16"/>
  <c r="O222" i="16"/>
  <c r="M222" i="16"/>
  <c r="K222" i="16"/>
  <c r="X221" i="16"/>
  <c r="W221" i="16"/>
  <c r="V221" i="16"/>
  <c r="U221" i="16"/>
  <c r="T221" i="16"/>
  <c r="S221" i="16"/>
  <c r="Q221" i="16"/>
  <c r="O221" i="16"/>
  <c r="M221" i="16"/>
  <c r="K221" i="16"/>
  <c r="X220" i="16"/>
  <c r="W220" i="16"/>
  <c r="V220" i="16"/>
  <c r="U220" i="16"/>
  <c r="T220" i="16"/>
  <c r="S220" i="16"/>
  <c r="Q220" i="16"/>
  <c r="O220" i="16"/>
  <c r="M220" i="16"/>
  <c r="K220" i="16"/>
  <c r="X219" i="16"/>
  <c r="W219" i="16"/>
  <c r="V219" i="16"/>
  <c r="U219" i="16"/>
  <c r="T219" i="16"/>
  <c r="S219" i="16"/>
  <c r="Q219" i="16"/>
  <c r="O219" i="16"/>
  <c r="M219" i="16"/>
  <c r="K219" i="16"/>
  <c r="X218" i="16"/>
  <c r="W218" i="16"/>
  <c r="V218" i="16"/>
  <c r="U218" i="16"/>
  <c r="T218" i="16"/>
  <c r="S218" i="16"/>
  <c r="Q218" i="16"/>
  <c r="O218" i="16"/>
  <c r="M218" i="16"/>
  <c r="K218" i="16"/>
  <c r="X217" i="16"/>
  <c r="W217" i="16"/>
  <c r="V217" i="16"/>
  <c r="U217" i="16"/>
  <c r="T217" i="16"/>
  <c r="S217" i="16"/>
  <c r="Q217" i="16"/>
  <c r="O217" i="16"/>
  <c r="M217" i="16"/>
  <c r="K217" i="16"/>
  <c r="X216" i="16"/>
  <c r="W216" i="16"/>
  <c r="V216" i="16"/>
  <c r="U216" i="16"/>
  <c r="T216" i="16"/>
  <c r="S216" i="16"/>
  <c r="Q216" i="16"/>
  <c r="O216" i="16"/>
  <c r="M216" i="16"/>
  <c r="K216" i="16"/>
  <c r="X215" i="16"/>
  <c r="W215" i="16"/>
  <c r="V215" i="16"/>
  <c r="U215" i="16"/>
  <c r="T215" i="16"/>
  <c r="S215" i="16"/>
  <c r="Q215" i="16"/>
  <c r="O215" i="16"/>
  <c r="M215" i="16"/>
  <c r="K215" i="16"/>
  <c r="X214" i="16"/>
  <c r="W214" i="16"/>
  <c r="V214" i="16"/>
  <c r="U214" i="16"/>
  <c r="T214" i="16"/>
  <c r="S214" i="16"/>
  <c r="Q214" i="16"/>
  <c r="O214" i="16"/>
  <c r="M214" i="16"/>
  <c r="K214" i="16"/>
  <c r="X213" i="16"/>
  <c r="W213" i="16"/>
  <c r="V213" i="16"/>
  <c r="U213" i="16"/>
  <c r="T213" i="16"/>
  <c r="S213" i="16"/>
  <c r="Q213" i="16"/>
  <c r="O213" i="16"/>
  <c r="M213" i="16"/>
  <c r="K213" i="16"/>
  <c r="X212" i="16"/>
  <c r="W212" i="16"/>
  <c r="V212" i="16"/>
  <c r="U212" i="16"/>
  <c r="T212" i="16"/>
  <c r="S212" i="16"/>
  <c r="Q212" i="16"/>
  <c r="O212" i="16"/>
  <c r="M212" i="16"/>
  <c r="K212" i="16"/>
  <c r="X211" i="16"/>
  <c r="W211" i="16"/>
  <c r="V211" i="16"/>
  <c r="U211" i="16"/>
  <c r="T211" i="16"/>
  <c r="S211" i="16"/>
  <c r="Q211" i="16"/>
  <c r="O211" i="16"/>
  <c r="M211" i="16"/>
  <c r="K211" i="16"/>
  <c r="X210" i="16"/>
  <c r="W210" i="16"/>
  <c r="V210" i="16"/>
  <c r="U210" i="16"/>
  <c r="T210" i="16"/>
  <c r="S210" i="16"/>
  <c r="Q210" i="16"/>
  <c r="O210" i="16"/>
  <c r="M210" i="16"/>
  <c r="K210" i="16"/>
  <c r="X209" i="16"/>
  <c r="W209" i="16"/>
  <c r="V209" i="16"/>
  <c r="U209" i="16"/>
  <c r="T209" i="16"/>
  <c r="S209" i="16"/>
  <c r="Q209" i="16"/>
  <c r="O209" i="16"/>
  <c r="M209" i="16"/>
  <c r="K209" i="16"/>
  <c r="X208" i="16"/>
  <c r="W208" i="16"/>
  <c r="V208" i="16"/>
  <c r="U208" i="16"/>
  <c r="T208" i="16"/>
  <c r="S208" i="16"/>
  <c r="Q208" i="16"/>
  <c r="O208" i="16"/>
  <c r="M208" i="16"/>
  <c r="K208" i="16"/>
  <c r="X207" i="16"/>
  <c r="W207" i="16"/>
  <c r="V207" i="16"/>
  <c r="U207" i="16"/>
  <c r="T207" i="16"/>
  <c r="S207" i="16"/>
  <c r="Q207" i="16"/>
  <c r="O207" i="16"/>
  <c r="M207" i="16"/>
  <c r="K207" i="16"/>
  <c r="X206" i="16"/>
  <c r="W206" i="16"/>
  <c r="V206" i="16"/>
  <c r="U206" i="16"/>
  <c r="T206" i="16"/>
  <c r="S206" i="16"/>
  <c r="Q206" i="16"/>
  <c r="O206" i="16"/>
  <c r="M206" i="16"/>
  <c r="K206" i="16"/>
  <c r="X205" i="16"/>
  <c r="W205" i="16"/>
  <c r="V205" i="16"/>
  <c r="U205" i="16"/>
  <c r="T205" i="16"/>
  <c r="S205" i="16"/>
  <c r="Q205" i="16"/>
  <c r="O205" i="16"/>
  <c r="M205" i="16"/>
  <c r="K205" i="16"/>
  <c r="X204" i="16"/>
  <c r="W204" i="16"/>
  <c r="V204" i="16"/>
  <c r="U204" i="16"/>
  <c r="T204" i="16"/>
  <c r="S204" i="16"/>
  <c r="Q204" i="16"/>
  <c r="O204" i="16"/>
  <c r="M204" i="16"/>
  <c r="K204" i="16"/>
  <c r="X203" i="16"/>
  <c r="W203" i="16"/>
  <c r="V203" i="16"/>
  <c r="U203" i="16"/>
  <c r="T203" i="16"/>
  <c r="S203" i="16"/>
  <c r="Q203" i="16"/>
  <c r="O203" i="16"/>
  <c r="M203" i="16"/>
  <c r="K203" i="16"/>
  <c r="X202" i="16"/>
  <c r="W202" i="16"/>
  <c r="V202" i="16"/>
  <c r="U202" i="16"/>
  <c r="T202" i="16"/>
  <c r="S202" i="16"/>
  <c r="Q202" i="16"/>
  <c r="O202" i="16"/>
  <c r="M202" i="16"/>
  <c r="K202" i="16"/>
  <c r="X201" i="16"/>
  <c r="W201" i="16"/>
  <c r="V201" i="16"/>
  <c r="U201" i="16"/>
  <c r="T201" i="16"/>
  <c r="S201" i="16"/>
  <c r="Q201" i="16"/>
  <c r="O201" i="16"/>
  <c r="M201" i="16"/>
  <c r="K201" i="16"/>
  <c r="X200" i="16"/>
  <c r="W200" i="16"/>
  <c r="V200" i="16"/>
  <c r="U200" i="16"/>
  <c r="T200" i="16"/>
  <c r="S200" i="16"/>
  <c r="Q200" i="16"/>
  <c r="O200" i="16"/>
  <c r="M200" i="16"/>
  <c r="K200" i="16"/>
  <c r="X199" i="16"/>
  <c r="W199" i="16"/>
  <c r="V199" i="16"/>
  <c r="U199" i="16"/>
  <c r="T199" i="16"/>
  <c r="S199" i="16"/>
  <c r="Q199" i="16"/>
  <c r="O199" i="16"/>
  <c r="M199" i="16"/>
  <c r="K199" i="16"/>
  <c r="X198" i="16"/>
  <c r="W198" i="16"/>
  <c r="V198" i="16"/>
  <c r="U198" i="16"/>
  <c r="T198" i="16"/>
  <c r="S198" i="16"/>
  <c r="Q198" i="16"/>
  <c r="O198" i="16"/>
  <c r="M198" i="16"/>
  <c r="K198" i="16"/>
  <c r="X197" i="16"/>
  <c r="W197" i="16"/>
  <c r="V197" i="16"/>
  <c r="U197" i="16"/>
  <c r="T197" i="16"/>
  <c r="S197" i="16"/>
  <c r="Q197" i="16"/>
  <c r="O197" i="16"/>
  <c r="M197" i="16"/>
  <c r="K197" i="16"/>
  <c r="X196" i="16"/>
  <c r="W196" i="16"/>
  <c r="V196" i="16"/>
  <c r="U196" i="16"/>
  <c r="T196" i="16"/>
  <c r="S196" i="16"/>
  <c r="Q196" i="16"/>
  <c r="O196" i="16"/>
  <c r="M196" i="16"/>
  <c r="K196" i="16"/>
  <c r="X195" i="16"/>
  <c r="W195" i="16"/>
  <c r="V195" i="16"/>
  <c r="U195" i="16"/>
  <c r="T195" i="16"/>
  <c r="S195" i="16"/>
  <c r="Q195" i="16"/>
  <c r="O195" i="16"/>
  <c r="M195" i="16"/>
  <c r="K195" i="16"/>
  <c r="X194" i="16"/>
  <c r="W194" i="16"/>
  <c r="V194" i="16"/>
  <c r="U194" i="16"/>
  <c r="T194" i="16"/>
  <c r="S194" i="16"/>
  <c r="Q194" i="16"/>
  <c r="O194" i="16"/>
  <c r="M194" i="16"/>
  <c r="K194" i="16"/>
  <c r="X193" i="16"/>
  <c r="W193" i="16"/>
  <c r="V193" i="16"/>
  <c r="U193" i="16"/>
  <c r="T193" i="16"/>
  <c r="S193" i="16"/>
  <c r="Q193" i="16"/>
  <c r="O193" i="16"/>
  <c r="M193" i="16"/>
  <c r="K193" i="16"/>
  <c r="X192" i="16"/>
  <c r="W192" i="16"/>
  <c r="V192" i="16"/>
  <c r="U192" i="16"/>
  <c r="T192" i="16"/>
  <c r="S192" i="16"/>
  <c r="Q192" i="16"/>
  <c r="O192" i="16"/>
  <c r="M192" i="16"/>
  <c r="K192" i="16"/>
  <c r="X191" i="16"/>
  <c r="W191" i="16"/>
  <c r="V191" i="16"/>
  <c r="U191" i="16"/>
  <c r="T191" i="16"/>
  <c r="S191" i="16"/>
  <c r="Q191" i="16"/>
  <c r="O191" i="16"/>
  <c r="M191" i="16"/>
  <c r="K191" i="16"/>
  <c r="X190" i="16"/>
  <c r="W190" i="16"/>
  <c r="V190" i="16"/>
  <c r="U190" i="16"/>
  <c r="T190" i="16"/>
  <c r="S190" i="16"/>
  <c r="Q190" i="16"/>
  <c r="O190" i="16"/>
  <c r="M190" i="16"/>
  <c r="K190" i="16"/>
  <c r="X189" i="16"/>
  <c r="W189" i="16"/>
  <c r="V189" i="16"/>
  <c r="U189" i="16"/>
  <c r="T189" i="16"/>
  <c r="S189" i="16"/>
  <c r="Q189" i="16"/>
  <c r="O189" i="16"/>
  <c r="M189" i="16"/>
  <c r="K189" i="16"/>
  <c r="X188" i="16"/>
  <c r="W188" i="16"/>
  <c r="V188" i="16"/>
  <c r="U188" i="16"/>
  <c r="T188" i="16"/>
  <c r="S188" i="16"/>
  <c r="Q188" i="16"/>
  <c r="O188" i="16"/>
  <c r="M188" i="16"/>
  <c r="K188" i="16"/>
  <c r="X187" i="16"/>
  <c r="W187" i="16"/>
  <c r="V187" i="16"/>
  <c r="U187" i="16"/>
  <c r="T187" i="16"/>
  <c r="S187" i="16"/>
  <c r="Q187" i="16"/>
  <c r="O187" i="16"/>
  <c r="M187" i="16"/>
  <c r="K187" i="16"/>
  <c r="X186" i="16"/>
  <c r="W186" i="16"/>
  <c r="V186" i="16"/>
  <c r="U186" i="16"/>
  <c r="T186" i="16"/>
  <c r="S186" i="16"/>
  <c r="Q186" i="16"/>
  <c r="O186" i="16"/>
  <c r="M186" i="16"/>
  <c r="K186" i="16"/>
  <c r="X185" i="16"/>
  <c r="W185" i="16"/>
  <c r="V185" i="16"/>
  <c r="U185" i="16"/>
  <c r="T185" i="16"/>
  <c r="S185" i="16"/>
  <c r="Q185" i="16"/>
  <c r="O185" i="16"/>
  <c r="M185" i="16"/>
  <c r="K185" i="16"/>
  <c r="X184" i="16"/>
  <c r="W184" i="16"/>
  <c r="V184" i="16"/>
  <c r="U184" i="16"/>
  <c r="T184" i="16"/>
  <c r="S184" i="16"/>
  <c r="Q184" i="16"/>
  <c r="O184" i="16"/>
  <c r="M184" i="16"/>
  <c r="K184" i="16"/>
  <c r="X183" i="16"/>
  <c r="W183" i="16"/>
  <c r="V183" i="16"/>
  <c r="U183" i="16"/>
  <c r="T183" i="16"/>
  <c r="S183" i="16"/>
  <c r="Q183" i="16"/>
  <c r="O183" i="16"/>
  <c r="M183" i="16"/>
  <c r="K183" i="16"/>
  <c r="X182" i="16"/>
  <c r="W182" i="16"/>
  <c r="V182" i="16"/>
  <c r="U182" i="16"/>
  <c r="T182" i="16"/>
  <c r="S182" i="16"/>
  <c r="Q182" i="16"/>
  <c r="O182" i="16"/>
  <c r="M182" i="16"/>
  <c r="K182" i="16"/>
  <c r="X181" i="16"/>
  <c r="W181" i="16"/>
  <c r="V181" i="16"/>
  <c r="U181" i="16"/>
  <c r="T181" i="16"/>
  <c r="S181" i="16"/>
  <c r="Q181" i="16"/>
  <c r="O181" i="16"/>
  <c r="M181" i="16"/>
  <c r="K181" i="16"/>
  <c r="X180" i="16"/>
  <c r="W180" i="16"/>
  <c r="V180" i="16"/>
  <c r="U180" i="16"/>
  <c r="T180" i="16"/>
  <c r="S180" i="16"/>
  <c r="Q180" i="16"/>
  <c r="O180" i="16"/>
  <c r="M180" i="16"/>
  <c r="K180" i="16"/>
  <c r="X179" i="16"/>
  <c r="W179" i="16"/>
  <c r="V179" i="16"/>
  <c r="U179" i="16"/>
  <c r="T179" i="16"/>
  <c r="S179" i="16"/>
  <c r="Q179" i="16"/>
  <c r="O179" i="16"/>
  <c r="M179" i="16"/>
  <c r="K179" i="16"/>
  <c r="X178" i="16"/>
  <c r="W178" i="16"/>
  <c r="V178" i="16"/>
  <c r="U178" i="16"/>
  <c r="T178" i="16"/>
  <c r="S178" i="16"/>
  <c r="Q178" i="16"/>
  <c r="O178" i="16"/>
  <c r="M178" i="16"/>
  <c r="K178" i="16"/>
  <c r="X177" i="16"/>
  <c r="W177" i="16"/>
  <c r="V177" i="16"/>
  <c r="U177" i="16"/>
  <c r="T177" i="16"/>
  <c r="S177" i="16"/>
  <c r="Q177" i="16"/>
  <c r="O177" i="16"/>
  <c r="M177" i="16"/>
  <c r="K177" i="16"/>
  <c r="X176" i="16"/>
  <c r="W176" i="16"/>
  <c r="V176" i="16"/>
  <c r="U176" i="16"/>
  <c r="T176" i="16"/>
  <c r="S176" i="16"/>
  <c r="Q176" i="16"/>
  <c r="O176" i="16"/>
  <c r="M176" i="16"/>
  <c r="K176" i="16"/>
  <c r="X175" i="16"/>
  <c r="W175" i="16"/>
  <c r="V175" i="16"/>
  <c r="U175" i="16"/>
  <c r="T175" i="16"/>
  <c r="S175" i="16"/>
  <c r="Q175" i="16"/>
  <c r="O175" i="16"/>
  <c r="M175" i="16"/>
  <c r="K175" i="16"/>
  <c r="X174" i="16"/>
  <c r="W174" i="16"/>
  <c r="V174" i="16"/>
  <c r="U174" i="16"/>
  <c r="T174" i="16"/>
  <c r="S174" i="16"/>
  <c r="Q174" i="16"/>
  <c r="O174" i="16"/>
  <c r="M174" i="16"/>
  <c r="K174" i="16"/>
  <c r="X173" i="16"/>
  <c r="W173" i="16"/>
  <c r="V173" i="16"/>
  <c r="U173" i="16"/>
  <c r="T173" i="16"/>
  <c r="S173" i="16"/>
  <c r="Q173" i="16"/>
  <c r="O173" i="16"/>
  <c r="M173" i="16"/>
  <c r="K173" i="16"/>
  <c r="X172" i="16"/>
  <c r="W172" i="16"/>
  <c r="V172" i="16"/>
  <c r="U172" i="16"/>
  <c r="T172" i="16"/>
  <c r="S172" i="16"/>
  <c r="Q172" i="16"/>
  <c r="O172" i="16"/>
  <c r="M172" i="16"/>
  <c r="K172" i="16"/>
  <c r="X171" i="16"/>
  <c r="W171" i="16"/>
  <c r="V171" i="16"/>
  <c r="U171" i="16"/>
  <c r="T171" i="16"/>
  <c r="S171" i="16"/>
  <c r="Q171" i="16"/>
  <c r="O171" i="16"/>
  <c r="M171" i="16"/>
  <c r="K171" i="16"/>
  <c r="X170" i="16"/>
  <c r="W170" i="16"/>
  <c r="V170" i="16"/>
  <c r="U170" i="16"/>
  <c r="T170" i="16"/>
  <c r="S170" i="16"/>
  <c r="Q170" i="16"/>
  <c r="O170" i="16"/>
  <c r="M170" i="16"/>
  <c r="K170" i="16"/>
  <c r="X169" i="16"/>
  <c r="W169" i="16"/>
  <c r="V169" i="16"/>
  <c r="U169" i="16"/>
  <c r="T169" i="16"/>
  <c r="S169" i="16"/>
  <c r="Q169" i="16"/>
  <c r="O169" i="16"/>
  <c r="M169" i="16"/>
  <c r="K169" i="16"/>
  <c r="X168" i="16"/>
  <c r="W168" i="16"/>
  <c r="V168" i="16"/>
  <c r="U168" i="16"/>
  <c r="T168" i="16"/>
  <c r="S168" i="16"/>
  <c r="Q168" i="16"/>
  <c r="O168" i="16"/>
  <c r="M168" i="16"/>
  <c r="K168" i="16"/>
  <c r="X167" i="16"/>
  <c r="W167" i="16"/>
  <c r="V167" i="16"/>
  <c r="U167" i="16"/>
  <c r="T167" i="16"/>
  <c r="S167" i="16"/>
  <c r="Q167" i="16"/>
  <c r="O167" i="16"/>
  <c r="M167" i="16"/>
  <c r="K167" i="16"/>
  <c r="X166" i="16"/>
  <c r="W166" i="16"/>
  <c r="V166" i="16"/>
  <c r="U166" i="16"/>
  <c r="T166" i="16"/>
  <c r="S166" i="16"/>
  <c r="Q166" i="16"/>
  <c r="O166" i="16"/>
  <c r="M166" i="16"/>
  <c r="K166" i="16"/>
  <c r="X165" i="16"/>
  <c r="W165" i="16"/>
  <c r="V165" i="16"/>
  <c r="U165" i="16"/>
  <c r="T165" i="16"/>
  <c r="S165" i="16"/>
  <c r="Q165" i="16"/>
  <c r="O165" i="16"/>
  <c r="M165" i="16"/>
  <c r="K165" i="16"/>
  <c r="X164" i="16"/>
  <c r="W164" i="16"/>
  <c r="V164" i="16"/>
  <c r="U164" i="16"/>
  <c r="T164" i="16"/>
  <c r="S164" i="16"/>
  <c r="Q164" i="16"/>
  <c r="O164" i="16"/>
  <c r="M164" i="16"/>
  <c r="K164" i="16"/>
  <c r="X163" i="16"/>
  <c r="W163" i="16"/>
  <c r="V163" i="16"/>
  <c r="U163" i="16"/>
  <c r="T163" i="16"/>
  <c r="S163" i="16"/>
  <c r="Q163" i="16"/>
  <c r="O163" i="16"/>
  <c r="M163" i="16"/>
  <c r="K163" i="16"/>
  <c r="X162" i="16"/>
  <c r="W162" i="16"/>
  <c r="V162" i="16"/>
  <c r="U162" i="16"/>
  <c r="T162" i="16"/>
  <c r="S162" i="16"/>
  <c r="Q162" i="16"/>
  <c r="O162" i="16"/>
  <c r="M162" i="16"/>
  <c r="K162" i="16"/>
  <c r="X161" i="16"/>
  <c r="W161" i="16"/>
  <c r="V161" i="16"/>
  <c r="U161" i="16"/>
  <c r="T161" i="16"/>
  <c r="S161" i="16"/>
  <c r="Q161" i="16"/>
  <c r="O161" i="16"/>
  <c r="M161" i="16"/>
  <c r="K161" i="16"/>
  <c r="X160" i="16"/>
  <c r="W160" i="16"/>
  <c r="V160" i="16"/>
  <c r="U160" i="16"/>
  <c r="T160" i="16"/>
  <c r="S160" i="16"/>
  <c r="Q160" i="16"/>
  <c r="O160" i="16"/>
  <c r="M160" i="16"/>
  <c r="K160" i="16"/>
  <c r="X159" i="16"/>
  <c r="W159" i="16"/>
  <c r="V159" i="16"/>
  <c r="U159" i="16"/>
  <c r="T159" i="16"/>
  <c r="S159" i="16"/>
  <c r="Q159" i="16"/>
  <c r="O159" i="16"/>
  <c r="M159" i="16"/>
  <c r="K159" i="16"/>
  <c r="X158" i="16"/>
  <c r="W158" i="16"/>
  <c r="V158" i="16"/>
  <c r="U158" i="16"/>
  <c r="T158" i="16"/>
  <c r="S158" i="16"/>
  <c r="Q158" i="16"/>
  <c r="O158" i="16"/>
  <c r="M158" i="16"/>
  <c r="K158" i="16"/>
  <c r="X157" i="16"/>
  <c r="W157" i="16"/>
  <c r="V157" i="16"/>
  <c r="U157" i="16"/>
  <c r="T157" i="16"/>
  <c r="S157" i="16"/>
  <c r="Q157" i="16"/>
  <c r="O157" i="16"/>
  <c r="M157" i="16"/>
  <c r="K157" i="16"/>
  <c r="X156" i="16"/>
  <c r="W156" i="16"/>
  <c r="V156" i="16"/>
  <c r="U156" i="16"/>
  <c r="T156" i="16"/>
  <c r="S156" i="16"/>
  <c r="Q156" i="16"/>
  <c r="O156" i="16"/>
  <c r="M156" i="16"/>
  <c r="K156" i="16"/>
  <c r="X155" i="16"/>
  <c r="W155" i="16"/>
  <c r="V155" i="16"/>
  <c r="U155" i="16"/>
  <c r="T155" i="16"/>
  <c r="S155" i="16"/>
  <c r="Q155" i="16"/>
  <c r="O155" i="16"/>
  <c r="M155" i="16"/>
  <c r="K155" i="16"/>
  <c r="X154" i="16"/>
  <c r="W154" i="16"/>
  <c r="V154" i="16"/>
  <c r="U154" i="16"/>
  <c r="T154" i="16"/>
  <c r="S154" i="16"/>
  <c r="Q154" i="16"/>
  <c r="O154" i="16"/>
  <c r="M154" i="16"/>
  <c r="K154" i="16"/>
  <c r="X153" i="16"/>
  <c r="W153" i="16"/>
  <c r="V153" i="16"/>
  <c r="U153" i="16"/>
  <c r="T153" i="16"/>
  <c r="S153" i="16"/>
  <c r="Q153" i="16"/>
  <c r="O153" i="16"/>
  <c r="M153" i="16"/>
  <c r="K153" i="16"/>
  <c r="X152" i="16"/>
  <c r="W152" i="16"/>
  <c r="V152" i="16"/>
  <c r="U152" i="16"/>
  <c r="T152" i="16"/>
  <c r="S152" i="16"/>
  <c r="Q152" i="16"/>
  <c r="O152" i="16"/>
  <c r="M152" i="16"/>
  <c r="K152" i="16"/>
  <c r="X151" i="16"/>
  <c r="W151" i="16"/>
  <c r="V151" i="16"/>
  <c r="U151" i="16"/>
  <c r="T151" i="16"/>
  <c r="S151" i="16"/>
  <c r="Q151" i="16"/>
  <c r="O151" i="16"/>
  <c r="M151" i="16"/>
  <c r="K151" i="16"/>
  <c r="X150" i="16"/>
  <c r="W150" i="16"/>
  <c r="V150" i="16"/>
  <c r="U150" i="16"/>
  <c r="T150" i="16"/>
  <c r="S150" i="16"/>
  <c r="Q150" i="16"/>
  <c r="O150" i="16"/>
  <c r="M150" i="16"/>
  <c r="K150" i="16"/>
  <c r="X149" i="16"/>
  <c r="W149" i="16"/>
  <c r="V149" i="16"/>
  <c r="U149" i="16"/>
  <c r="T149" i="16"/>
  <c r="S149" i="16"/>
  <c r="Q149" i="16"/>
  <c r="O149" i="16"/>
  <c r="M149" i="16"/>
  <c r="K149" i="16"/>
  <c r="X148" i="16"/>
  <c r="W148" i="16"/>
  <c r="V148" i="16"/>
  <c r="U148" i="16"/>
  <c r="T148" i="16"/>
  <c r="S148" i="16"/>
  <c r="Q148" i="16"/>
  <c r="O148" i="16"/>
  <c r="M148" i="16"/>
  <c r="K148" i="16"/>
  <c r="X147" i="16"/>
  <c r="W147" i="16"/>
  <c r="V147" i="16"/>
  <c r="U147" i="16"/>
  <c r="T147" i="16"/>
  <c r="S147" i="16"/>
  <c r="Q147" i="16"/>
  <c r="O147" i="16"/>
  <c r="M147" i="16"/>
  <c r="K147" i="16"/>
  <c r="X146" i="16"/>
  <c r="W146" i="16"/>
  <c r="V146" i="16"/>
  <c r="U146" i="16"/>
  <c r="T146" i="16"/>
  <c r="S146" i="16"/>
  <c r="Q146" i="16"/>
  <c r="O146" i="16"/>
  <c r="M146" i="16"/>
  <c r="K146" i="16"/>
  <c r="X145" i="16"/>
  <c r="W145" i="16"/>
  <c r="V145" i="16"/>
  <c r="U145" i="16"/>
  <c r="T145" i="16"/>
  <c r="S145" i="16"/>
  <c r="Q145" i="16"/>
  <c r="O145" i="16"/>
  <c r="M145" i="16"/>
  <c r="K145" i="16"/>
  <c r="X144" i="16"/>
  <c r="W144" i="16"/>
  <c r="V144" i="16"/>
  <c r="U144" i="16"/>
  <c r="T144" i="16"/>
  <c r="S144" i="16"/>
  <c r="Q144" i="16"/>
  <c r="O144" i="16"/>
  <c r="M144" i="16"/>
  <c r="K144" i="16"/>
  <c r="X143" i="16"/>
  <c r="W143" i="16"/>
  <c r="V143" i="16"/>
  <c r="U143" i="16"/>
  <c r="T143" i="16"/>
  <c r="S143" i="16"/>
  <c r="Q143" i="16"/>
  <c r="O143" i="16"/>
  <c r="M143" i="16"/>
  <c r="K143" i="16"/>
  <c r="X142" i="16"/>
  <c r="W142" i="16"/>
  <c r="V142" i="16"/>
  <c r="U142" i="16"/>
  <c r="T142" i="16"/>
  <c r="S142" i="16"/>
  <c r="Q142" i="16"/>
  <c r="O142" i="16"/>
  <c r="M142" i="16"/>
  <c r="K142" i="16"/>
  <c r="X141" i="16"/>
  <c r="W141" i="16"/>
  <c r="V141" i="16"/>
  <c r="U141" i="16"/>
  <c r="T141" i="16"/>
  <c r="S141" i="16"/>
  <c r="Q141" i="16"/>
  <c r="O141" i="16"/>
  <c r="M141" i="16"/>
  <c r="K141" i="16"/>
  <c r="X140" i="16"/>
  <c r="W140" i="16"/>
  <c r="V140" i="16"/>
  <c r="U140" i="16"/>
  <c r="T140" i="16"/>
  <c r="S140" i="16"/>
  <c r="Q140" i="16"/>
  <c r="O140" i="16"/>
  <c r="M140" i="16"/>
  <c r="K140" i="16"/>
  <c r="X139" i="16"/>
  <c r="W139" i="16"/>
  <c r="V139" i="16"/>
  <c r="U139" i="16"/>
  <c r="T139" i="16"/>
  <c r="S139" i="16"/>
  <c r="Q139" i="16"/>
  <c r="O139" i="16"/>
  <c r="M139" i="16"/>
  <c r="K139" i="16"/>
  <c r="X138" i="16"/>
  <c r="W138" i="16"/>
  <c r="V138" i="16"/>
  <c r="U138" i="16"/>
  <c r="T138" i="16"/>
  <c r="S138" i="16"/>
  <c r="Q138" i="16"/>
  <c r="O138" i="16"/>
  <c r="M138" i="16"/>
  <c r="K138" i="16"/>
  <c r="X137" i="16"/>
  <c r="W137" i="16"/>
  <c r="V137" i="16"/>
  <c r="U137" i="16"/>
  <c r="T137" i="16"/>
  <c r="S137" i="16"/>
  <c r="Q137" i="16"/>
  <c r="O137" i="16"/>
  <c r="M137" i="16"/>
  <c r="K137" i="16"/>
  <c r="X136" i="16"/>
  <c r="W136" i="16"/>
  <c r="V136" i="16"/>
  <c r="U136" i="16"/>
  <c r="T136" i="16"/>
  <c r="S136" i="16"/>
  <c r="Q136" i="16"/>
  <c r="O136" i="16"/>
  <c r="M136" i="16"/>
  <c r="K136" i="16"/>
  <c r="X135" i="16"/>
  <c r="W135" i="16"/>
  <c r="V135" i="16"/>
  <c r="U135" i="16"/>
  <c r="T135" i="16"/>
  <c r="S135" i="16"/>
  <c r="Q135" i="16"/>
  <c r="O135" i="16"/>
  <c r="M135" i="16"/>
  <c r="K135" i="16"/>
  <c r="X134" i="16"/>
  <c r="W134" i="16"/>
  <c r="V134" i="16"/>
  <c r="U134" i="16"/>
  <c r="T134" i="16"/>
  <c r="S134" i="16"/>
  <c r="Q134" i="16"/>
  <c r="O134" i="16"/>
  <c r="M134" i="16"/>
  <c r="K134" i="16"/>
  <c r="X133" i="16"/>
  <c r="W133" i="16"/>
  <c r="V133" i="16"/>
  <c r="U133" i="16"/>
  <c r="T133" i="16"/>
  <c r="S133" i="16"/>
  <c r="Q133" i="16"/>
  <c r="O133" i="16"/>
  <c r="M133" i="16"/>
  <c r="K133" i="16"/>
  <c r="X132" i="16"/>
  <c r="W132" i="16"/>
  <c r="V132" i="16"/>
  <c r="U132" i="16"/>
  <c r="T132" i="16"/>
  <c r="S132" i="16"/>
  <c r="Q132" i="16"/>
  <c r="O132" i="16"/>
  <c r="M132" i="16"/>
  <c r="K132" i="16"/>
  <c r="X131" i="16"/>
  <c r="W131" i="16"/>
  <c r="V131" i="16"/>
  <c r="U131" i="16"/>
  <c r="T131" i="16"/>
  <c r="S131" i="16"/>
  <c r="Q131" i="16"/>
  <c r="O131" i="16"/>
  <c r="M131" i="16"/>
  <c r="K131" i="16"/>
  <c r="X130" i="16"/>
  <c r="W130" i="16"/>
  <c r="V130" i="16"/>
  <c r="U130" i="16"/>
  <c r="T130" i="16"/>
  <c r="S130" i="16"/>
  <c r="Q130" i="16"/>
  <c r="O130" i="16"/>
  <c r="M130" i="16"/>
  <c r="K130" i="16"/>
  <c r="X129" i="16"/>
  <c r="W129" i="16"/>
  <c r="V129" i="16"/>
  <c r="U129" i="16"/>
  <c r="T129" i="16"/>
  <c r="S129" i="16"/>
  <c r="Q129" i="16"/>
  <c r="O129" i="16"/>
  <c r="M129" i="16"/>
  <c r="K129" i="16"/>
  <c r="X128" i="16"/>
  <c r="W128" i="16"/>
  <c r="V128" i="16"/>
  <c r="U128" i="16"/>
  <c r="T128" i="16"/>
  <c r="S128" i="16"/>
  <c r="Q128" i="16"/>
  <c r="O128" i="16"/>
  <c r="M128" i="16"/>
  <c r="K128" i="16"/>
  <c r="X127" i="16"/>
  <c r="W127" i="16"/>
  <c r="V127" i="16"/>
  <c r="U127" i="16"/>
  <c r="T127" i="16"/>
  <c r="S127" i="16"/>
  <c r="Q127" i="16"/>
  <c r="O127" i="16"/>
  <c r="M127" i="16"/>
  <c r="K127" i="16"/>
  <c r="X126" i="16"/>
  <c r="W126" i="16"/>
  <c r="V126" i="16"/>
  <c r="U126" i="16"/>
  <c r="T126" i="16"/>
  <c r="S126" i="16"/>
  <c r="Q126" i="16"/>
  <c r="O126" i="16"/>
  <c r="M126" i="16"/>
  <c r="K126" i="16"/>
  <c r="X125" i="16"/>
  <c r="W125" i="16"/>
  <c r="V125" i="16"/>
  <c r="U125" i="16"/>
  <c r="T125" i="16"/>
  <c r="S125" i="16"/>
  <c r="Q125" i="16"/>
  <c r="O125" i="16"/>
  <c r="M125" i="16"/>
  <c r="K125" i="16"/>
  <c r="X124" i="16"/>
  <c r="W124" i="16"/>
  <c r="V124" i="16"/>
  <c r="U124" i="16"/>
  <c r="T124" i="16"/>
  <c r="S124" i="16"/>
  <c r="Q124" i="16"/>
  <c r="O124" i="16"/>
  <c r="M124" i="16"/>
  <c r="K124" i="16"/>
  <c r="X123" i="16"/>
  <c r="W123" i="16"/>
  <c r="V123" i="16"/>
  <c r="U123" i="16"/>
  <c r="T123" i="16"/>
  <c r="S123" i="16"/>
  <c r="Q123" i="16"/>
  <c r="O123" i="16"/>
  <c r="M123" i="16"/>
  <c r="K123" i="16"/>
  <c r="X122" i="16"/>
  <c r="W122" i="16"/>
  <c r="V122" i="16"/>
  <c r="U122" i="16"/>
  <c r="T122" i="16"/>
  <c r="S122" i="16"/>
  <c r="Q122" i="16"/>
  <c r="O122" i="16"/>
  <c r="M122" i="16"/>
  <c r="K122" i="16"/>
  <c r="X121" i="16"/>
  <c r="W121" i="16"/>
  <c r="V121" i="16"/>
  <c r="U121" i="16"/>
  <c r="T121" i="16"/>
  <c r="S121" i="16"/>
  <c r="Q121" i="16"/>
  <c r="O121" i="16"/>
  <c r="M121" i="16"/>
  <c r="K121" i="16"/>
  <c r="X120" i="16"/>
  <c r="W120" i="16"/>
  <c r="V120" i="16"/>
  <c r="U120" i="16"/>
  <c r="T120" i="16"/>
  <c r="S120" i="16"/>
  <c r="Q120" i="16"/>
  <c r="O120" i="16"/>
  <c r="M120" i="16"/>
  <c r="K120" i="16"/>
  <c r="X119" i="16"/>
  <c r="W119" i="16"/>
  <c r="V119" i="16"/>
  <c r="U119" i="16"/>
  <c r="T119" i="16"/>
  <c r="S119" i="16"/>
  <c r="Q119" i="16"/>
  <c r="O119" i="16"/>
  <c r="M119" i="16"/>
  <c r="K119" i="16"/>
  <c r="X118" i="16"/>
  <c r="W118" i="16"/>
  <c r="V118" i="16"/>
  <c r="U118" i="16"/>
  <c r="T118" i="16"/>
  <c r="S118" i="16"/>
  <c r="Q118" i="16"/>
  <c r="O118" i="16"/>
  <c r="M118" i="16"/>
  <c r="K118" i="16"/>
  <c r="X117" i="16"/>
  <c r="W117" i="16"/>
  <c r="V117" i="16"/>
  <c r="U117" i="16"/>
  <c r="T117" i="16"/>
  <c r="S117" i="16"/>
  <c r="Q117" i="16"/>
  <c r="O117" i="16"/>
  <c r="M117" i="16"/>
  <c r="K117" i="16"/>
  <c r="X116" i="16"/>
  <c r="W116" i="16"/>
  <c r="V116" i="16"/>
  <c r="U116" i="16"/>
  <c r="T116" i="16"/>
  <c r="S116" i="16"/>
  <c r="Q116" i="16"/>
  <c r="O116" i="16"/>
  <c r="M116" i="16"/>
  <c r="K116" i="16"/>
  <c r="X115" i="16"/>
  <c r="W115" i="16"/>
  <c r="V115" i="16"/>
  <c r="U115" i="16"/>
  <c r="T115" i="16"/>
  <c r="S115" i="16"/>
  <c r="Q115" i="16"/>
  <c r="O115" i="16"/>
  <c r="M115" i="16"/>
  <c r="K115" i="16"/>
  <c r="X114" i="16"/>
  <c r="W114" i="16"/>
  <c r="V114" i="16"/>
  <c r="U114" i="16"/>
  <c r="T114" i="16"/>
  <c r="S114" i="16"/>
  <c r="Q114" i="16"/>
  <c r="O114" i="16"/>
  <c r="M114" i="16"/>
  <c r="K114" i="16"/>
  <c r="X113" i="16"/>
  <c r="W113" i="16"/>
  <c r="V113" i="16"/>
  <c r="U113" i="16"/>
  <c r="T113" i="16"/>
  <c r="S113" i="16"/>
  <c r="Q113" i="16"/>
  <c r="O113" i="16"/>
  <c r="M113" i="16"/>
  <c r="K113" i="16"/>
  <c r="X112" i="16"/>
  <c r="W112" i="16"/>
  <c r="V112" i="16"/>
  <c r="U112" i="16"/>
  <c r="T112" i="16"/>
  <c r="S112" i="16"/>
  <c r="Q112" i="16"/>
  <c r="O112" i="16"/>
  <c r="M112" i="16"/>
  <c r="K112" i="16"/>
  <c r="X111" i="16"/>
  <c r="W111" i="16"/>
  <c r="V111" i="16"/>
  <c r="U111" i="16"/>
  <c r="T111" i="16"/>
  <c r="S111" i="16"/>
  <c r="Q111" i="16"/>
  <c r="O111" i="16"/>
  <c r="M111" i="16"/>
  <c r="K111" i="16"/>
  <c r="X110" i="16"/>
  <c r="W110" i="16"/>
  <c r="V110" i="16"/>
  <c r="U110" i="16"/>
  <c r="T110" i="16"/>
  <c r="S110" i="16"/>
  <c r="Q110" i="16"/>
  <c r="O110" i="16"/>
  <c r="M110" i="16"/>
  <c r="K110" i="16"/>
  <c r="X109" i="16"/>
  <c r="W109" i="16"/>
  <c r="V109" i="16"/>
  <c r="U109" i="16"/>
  <c r="T109" i="16"/>
  <c r="S109" i="16"/>
  <c r="Q109" i="16"/>
  <c r="O109" i="16"/>
  <c r="M109" i="16"/>
  <c r="K109" i="16"/>
  <c r="X108" i="16"/>
  <c r="W108" i="16"/>
  <c r="V108" i="16"/>
  <c r="U108" i="16"/>
  <c r="T108" i="16"/>
  <c r="S108" i="16"/>
  <c r="Q108" i="16"/>
  <c r="O108" i="16"/>
  <c r="M108" i="16"/>
  <c r="K108" i="16"/>
  <c r="X107" i="16"/>
  <c r="W107" i="16"/>
  <c r="V107" i="16"/>
  <c r="U107" i="16"/>
  <c r="T107" i="16"/>
  <c r="S107" i="16"/>
  <c r="Q107" i="16"/>
  <c r="O107" i="16"/>
  <c r="M107" i="16"/>
  <c r="K107" i="16"/>
  <c r="X106" i="16"/>
  <c r="W106" i="16"/>
  <c r="V106" i="16"/>
  <c r="U106" i="16"/>
  <c r="T106" i="16"/>
  <c r="S106" i="16"/>
  <c r="Q106" i="16"/>
  <c r="O106" i="16"/>
  <c r="M106" i="16"/>
  <c r="K106" i="16"/>
  <c r="X105" i="16"/>
  <c r="W105" i="16"/>
  <c r="V105" i="16"/>
  <c r="U105" i="16"/>
  <c r="T105" i="16"/>
  <c r="S105" i="16"/>
  <c r="Q105" i="16"/>
  <c r="O105" i="16"/>
  <c r="M105" i="16"/>
  <c r="K105" i="16"/>
  <c r="X104" i="16"/>
  <c r="W104" i="16"/>
  <c r="V104" i="16"/>
  <c r="U104" i="16"/>
  <c r="T104" i="16"/>
  <c r="S104" i="16"/>
  <c r="Q104" i="16"/>
  <c r="O104" i="16"/>
  <c r="M104" i="16"/>
  <c r="K104" i="16"/>
  <c r="X103" i="16"/>
  <c r="W103" i="16"/>
  <c r="V103" i="16"/>
  <c r="U103" i="16"/>
  <c r="T103" i="16"/>
  <c r="S103" i="16"/>
  <c r="Q103" i="16"/>
  <c r="O103" i="16"/>
  <c r="M103" i="16"/>
  <c r="K103" i="16"/>
  <c r="X102" i="16"/>
  <c r="W102" i="16"/>
  <c r="V102" i="16"/>
  <c r="U102" i="16"/>
  <c r="T102" i="16"/>
  <c r="S102" i="16"/>
  <c r="Q102" i="16"/>
  <c r="O102" i="16"/>
  <c r="M102" i="16"/>
  <c r="K102" i="16"/>
  <c r="X101" i="16"/>
  <c r="W101" i="16"/>
  <c r="V101" i="16"/>
  <c r="U101" i="16"/>
  <c r="T101" i="16"/>
  <c r="S101" i="16"/>
  <c r="Q101" i="16"/>
  <c r="O101" i="16"/>
  <c r="M101" i="16"/>
  <c r="K101" i="16"/>
  <c r="X100" i="16"/>
  <c r="W100" i="16"/>
  <c r="V100" i="16"/>
  <c r="U100" i="16"/>
  <c r="T100" i="16"/>
  <c r="S100" i="16"/>
  <c r="Q100" i="16"/>
  <c r="O100" i="16"/>
  <c r="M100" i="16"/>
  <c r="K100" i="16"/>
  <c r="X99" i="16"/>
  <c r="W99" i="16"/>
  <c r="V99" i="16"/>
  <c r="U99" i="16"/>
  <c r="T99" i="16"/>
  <c r="S99" i="16"/>
  <c r="Q99" i="16"/>
  <c r="O99" i="16"/>
  <c r="M99" i="16"/>
  <c r="K99" i="16"/>
  <c r="X98" i="16"/>
  <c r="W98" i="16"/>
  <c r="V98" i="16"/>
  <c r="U98" i="16"/>
  <c r="T98" i="16"/>
  <c r="S98" i="16"/>
  <c r="Q98" i="16"/>
  <c r="O98" i="16"/>
  <c r="M98" i="16"/>
  <c r="K98" i="16"/>
  <c r="X97" i="16"/>
  <c r="W97" i="16"/>
  <c r="V97" i="16"/>
  <c r="U97" i="16"/>
  <c r="T97" i="16"/>
  <c r="S97" i="16"/>
  <c r="Q97" i="16"/>
  <c r="O97" i="16"/>
  <c r="M97" i="16"/>
  <c r="K97" i="16"/>
  <c r="X96" i="16"/>
  <c r="W96" i="16"/>
  <c r="V96" i="16"/>
  <c r="U96" i="16"/>
  <c r="T96" i="16"/>
  <c r="S96" i="16"/>
  <c r="Q96" i="16"/>
  <c r="O96" i="16"/>
  <c r="M96" i="16"/>
  <c r="K96" i="16"/>
  <c r="X95" i="16"/>
  <c r="W95" i="16"/>
  <c r="V95" i="16"/>
  <c r="U95" i="16"/>
  <c r="T95" i="16"/>
  <c r="S95" i="16"/>
  <c r="Q95" i="16"/>
  <c r="O95" i="16"/>
  <c r="M95" i="16"/>
  <c r="K95" i="16"/>
  <c r="X94" i="16"/>
  <c r="W94" i="16"/>
  <c r="V94" i="16"/>
  <c r="U94" i="16"/>
  <c r="T94" i="16"/>
  <c r="S94" i="16"/>
  <c r="Q94" i="16"/>
  <c r="O94" i="16"/>
  <c r="M94" i="16"/>
  <c r="K94" i="16"/>
  <c r="X93" i="16"/>
  <c r="W93" i="16"/>
  <c r="V93" i="16"/>
  <c r="U93" i="16"/>
  <c r="T93" i="16"/>
  <c r="S93" i="16"/>
  <c r="Q93" i="16"/>
  <c r="O93" i="16"/>
  <c r="M93" i="16"/>
  <c r="K93" i="16"/>
  <c r="X92" i="16"/>
  <c r="W92" i="16"/>
  <c r="V92" i="16"/>
  <c r="U92" i="16"/>
  <c r="T92" i="16"/>
  <c r="S92" i="16"/>
  <c r="Q92" i="16"/>
  <c r="O92" i="16"/>
  <c r="M92" i="16"/>
  <c r="K92" i="16"/>
  <c r="X91" i="16"/>
  <c r="W91" i="16"/>
  <c r="V91" i="16"/>
  <c r="U91" i="16"/>
  <c r="T91" i="16"/>
  <c r="S91" i="16"/>
  <c r="Q91" i="16"/>
  <c r="O91" i="16"/>
  <c r="M91" i="16"/>
  <c r="K91" i="16"/>
  <c r="X90" i="16"/>
  <c r="W90" i="16"/>
  <c r="V90" i="16"/>
  <c r="U90" i="16"/>
  <c r="T90" i="16"/>
  <c r="S90" i="16"/>
  <c r="Q90" i="16"/>
  <c r="O90" i="16"/>
  <c r="M90" i="16"/>
  <c r="K90" i="16"/>
  <c r="X89" i="16"/>
  <c r="W89" i="16"/>
  <c r="V89" i="16"/>
  <c r="U89" i="16"/>
  <c r="T89" i="16"/>
  <c r="S89" i="16"/>
  <c r="Q89" i="16"/>
  <c r="O89" i="16"/>
  <c r="M89" i="16"/>
  <c r="K89" i="16"/>
  <c r="X88" i="16"/>
  <c r="W88" i="16"/>
  <c r="V88" i="16"/>
  <c r="U88" i="16"/>
  <c r="T88" i="16"/>
  <c r="S88" i="16"/>
  <c r="Q88" i="16"/>
  <c r="O88" i="16"/>
  <c r="M88" i="16"/>
  <c r="K88" i="16"/>
  <c r="X87" i="16"/>
  <c r="W87" i="16"/>
  <c r="V87" i="16"/>
  <c r="U87" i="16"/>
  <c r="T87" i="16"/>
  <c r="S87" i="16"/>
  <c r="Q87" i="16"/>
  <c r="O87" i="16"/>
  <c r="M87" i="16"/>
  <c r="K87" i="16"/>
  <c r="X86" i="16"/>
  <c r="W86" i="16"/>
  <c r="V86" i="16"/>
  <c r="U86" i="16"/>
  <c r="T86" i="16"/>
  <c r="S86" i="16"/>
  <c r="Q86" i="16"/>
  <c r="O86" i="16"/>
  <c r="M86" i="16"/>
  <c r="K86" i="16"/>
  <c r="X85" i="16"/>
  <c r="W85" i="16"/>
  <c r="V85" i="16"/>
  <c r="U85" i="16"/>
  <c r="T85" i="16"/>
  <c r="S85" i="16"/>
  <c r="Q85" i="16"/>
  <c r="O85" i="16"/>
  <c r="M85" i="16"/>
  <c r="K85" i="16"/>
  <c r="X84" i="16"/>
  <c r="W84" i="16"/>
  <c r="V84" i="16"/>
  <c r="U84" i="16"/>
  <c r="T84" i="16"/>
  <c r="S84" i="16"/>
  <c r="Q84" i="16"/>
  <c r="O84" i="16"/>
  <c r="M84" i="16"/>
  <c r="K84" i="16"/>
  <c r="X83" i="16"/>
  <c r="W83" i="16"/>
  <c r="V83" i="16"/>
  <c r="U83" i="16"/>
  <c r="T83" i="16"/>
  <c r="S83" i="16"/>
  <c r="Q83" i="16"/>
  <c r="O83" i="16"/>
  <c r="M83" i="16"/>
  <c r="K83" i="16"/>
  <c r="X82" i="16"/>
  <c r="W82" i="16"/>
  <c r="V82" i="16"/>
  <c r="U82" i="16"/>
  <c r="T82" i="16"/>
  <c r="S82" i="16"/>
  <c r="Q82" i="16"/>
  <c r="O82" i="16"/>
  <c r="M82" i="16"/>
  <c r="K82" i="16"/>
  <c r="X81" i="16"/>
  <c r="W81" i="16"/>
  <c r="V81" i="16"/>
  <c r="U81" i="16"/>
  <c r="T81" i="16"/>
  <c r="S81" i="16"/>
  <c r="Q81" i="16"/>
  <c r="O81" i="16"/>
  <c r="M81" i="16"/>
  <c r="K81" i="16"/>
  <c r="X80" i="16"/>
  <c r="W80" i="16"/>
  <c r="V80" i="16"/>
  <c r="U80" i="16"/>
  <c r="T80" i="16"/>
  <c r="S80" i="16"/>
  <c r="Q80" i="16"/>
  <c r="O80" i="16"/>
  <c r="M80" i="16"/>
  <c r="K80" i="16"/>
  <c r="X79" i="16"/>
  <c r="W79" i="16"/>
  <c r="V79" i="16"/>
  <c r="U79" i="16"/>
  <c r="T79" i="16"/>
  <c r="S79" i="16"/>
  <c r="Q79" i="16"/>
  <c r="O79" i="16"/>
  <c r="M79" i="16"/>
  <c r="K79" i="16"/>
  <c r="X78" i="16"/>
  <c r="W78" i="16"/>
  <c r="V78" i="16"/>
  <c r="U78" i="16"/>
  <c r="T78" i="16"/>
  <c r="S78" i="16"/>
  <c r="Q78" i="16"/>
  <c r="O78" i="16"/>
  <c r="M78" i="16"/>
  <c r="K78" i="16"/>
  <c r="X77" i="16"/>
  <c r="W77" i="16"/>
  <c r="V77" i="16"/>
  <c r="U77" i="16"/>
  <c r="T77" i="16"/>
  <c r="S77" i="16"/>
  <c r="Q77" i="16"/>
  <c r="O77" i="16"/>
  <c r="M77" i="16"/>
  <c r="K77" i="16"/>
  <c r="X76" i="16"/>
  <c r="W76" i="16"/>
  <c r="V76" i="16"/>
  <c r="U76" i="16"/>
  <c r="T76" i="16"/>
  <c r="S76" i="16"/>
  <c r="Q76" i="16"/>
  <c r="O76" i="16"/>
  <c r="M76" i="16"/>
  <c r="K76" i="16"/>
  <c r="X75" i="16"/>
  <c r="W75" i="16"/>
  <c r="V75" i="16"/>
  <c r="U75" i="16"/>
  <c r="T75" i="16"/>
  <c r="S75" i="16"/>
  <c r="Q75" i="16"/>
  <c r="O75" i="16"/>
  <c r="M75" i="16"/>
  <c r="K75" i="16"/>
  <c r="X74" i="16"/>
  <c r="W74" i="16"/>
  <c r="V74" i="16"/>
  <c r="U74" i="16"/>
  <c r="T74" i="16"/>
  <c r="S74" i="16"/>
  <c r="Q74" i="16"/>
  <c r="O74" i="16"/>
  <c r="M74" i="16"/>
  <c r="K74" i="16"/>
  <c r="X73" i="16"/>
  <c r="W73" i="16"/>
  <c r="V73" i="16"/>
  <c r="U73" i="16"/>
  <c r="T73" i="16"/>
  <c r="S73" i="16"/>
  <c r="Q73" i="16"/>
  <c r="O73" i="16"/>
  <c r="M73" i="16"/>
  <c r="K73" i="16"/>
  <c r="X72" i="16"/>
  <c r="W72" i="16"/>
  <c r="V72" i="16"/>
  <c r="U72" i="16"/>
  <c r="T72" i="16"/>
  <c r="S72" i="16"/>
  <c r="Q72" i="16"/>
  <c r="O72" i="16"/>
  <c r="M72" i="16"/>
  <c r="K72" i="16"/>
  <c r="X71" i="16"/>
  <c r="W71" i="16"/>
  <c r="V71" i="16"/>
  <c r="U71" i="16"/>
  <c r="T71" i="16"/>
  <c r="S71" i="16"/>
  <c r="Q71" i="16"/>
  <c r="O71" i="16"/>
  <c r="M71" i="16"/>
  <c r="K71" i="16"/>
  <c r="X70" i="16"/>
  <c r="W70" i="16"/>
  <c r="V70" i="16"/>
  <c r="U70" i="16"/>
  <c r="T70" i="16"/>
  <c r="S70" i="16"/>
  <c r="Q70" i="16"/>
  <c r="O70" i="16"/>
  <c r="M70" i="16"/>
  <c r="K70" i="16"/>
  <c r="X69" i="16"/>
  <c r="W69" i="16"/>
  <c r="V69" i="16"/>
  <c r="U69" i="16"/>
  <c r="T69" i="16"/>
  <c r="S69" i="16"/>
  <c r="Q69" i="16"/>
  <c r="O69" i="16"/>
  <c r="M69" i="16"/>
  <c r="K69" i="16"/>
  <c r="X68" i="16"/>
  <c r="W68" i="16"/>
  <c r="V68" i="16"/>
  <c r="U68" i="16"/>
  <c r="T68" i="16"/>
  <c r="S68" i="16"/>
  <c r="Q68" i="16"/>
  <c r="O68" i="16"/>
  <c r="M68" i="16"/>
  <c r="K68" i="16"/>
  <c r="X67" i="16"/>
  <c r="W67" i="16"/>
  <c r="V67" i="16"/>
  <c r="U67" i="16"/>
  <c r="T67" i="16"/>
  <c r="S67" i="16"/>
  <c r="Q67" i="16"/>
  <c r="O67" i="16"/>
  <c r="M67" i="16"/>
  <c r="K67" i="16"/>
  <c r="X66" i="16"/>
  <c r="W66" i="16"/>
  <c r="V66" i="16"/>
  <c r="U66" i="16"/>
  <c r="T66" i="16"/>
  <c r="S66" i="16"/>
  <c r="Q66" i="16"/>
  <c r="O66" i="16"/>
  <c r="M66" i="16"/>
  <c r="K66" i="16"/>
  <c r="X65" i="16"/>
  <c r="W65" i="16"/>
  <c r="V65" i="16"/>
  <c r="U65" i="16"/>
  <c r="T65" i="16"/>
  <c r="S65" i="16"/>
  <c r="Q65" i="16"/>
  <c r="O65" i="16"/>
  <c r="M65" i="16"/>
  <c r="K65" i="16"/>
  <c r="X64" i="16"/>
  <c r="W64" i="16"/>
  <c r="V64" i="16"/>
  <c r="U64" i="16"/>
  <c r="T64" i="16"/>
  <c r="S64" i="16"/>
  <c r="Q64" i="16"/>
  <c r="O64" i="16"/>
  <c r="M64" i="16"/>
  <c r="K64" i="16"/>
  <c r="X63" i="16"/>
  <c r="W63" i="16"/>
  <c r="V63" i="16"/>
  <c r="U63" i="16"/>
  <c r="T63" i="16"/>
  <c r="S63" i="16"/>
  <c r="Q63" i="16"/>
  <c r="O63" i="16"/>
  <c r="M63" i="16"/>
  <c r="K63" i="16"/>
  <c r="X62" i="16"/>
  <c r="W62" i="16"/>
  <c r="V62" i="16"/>
  <c r="U62" i="16"/>
  <c r="T62" i="16"/>
  <c r="S62" i="16"/>
  <c r="Q62" i="16"/>
  <c r="O62" i="16"/>
  <c r="M62" i="16"/>
  <c r="K62" i="16"/>
  <c r="X61" i="16"/>
  <c r="W61" i="16"/>
  <c r="V61" i="16"/>
  <c r="U61" i="16"/>
  <c r="T61" i="16"/>
  <c r="S61" i="16"/>
  <c r="Q61" i="16"/>
  <c r="O61" i="16"/>
  <c r="M61" i="16"/>
  <c r="K61" i="16"/>
  <c r="X60" i="16"/>
  <c r="W60" i="16"/>
  <c r="V60" i="16"/>
  <c r="U60" i="16"/>
  <c r="T60" i="16"/>
  <c r="S60" i="16"/>
  <c r="Q60" i="16"/>
  <c r="O60" i="16"/>
  <c r="M60" i="16"/>
  <c r="K60" i="16"/>
  <c r="X59" i="16"/>
  <c r="W59" i="16"/>
  <c r="V59" i="16"/>
  <c r="U59" i="16"/>
  <c r="T59" i="16"/>
  <c r="S59" i="16"/>
  <c r="Q59" i="16"/>
  <c r="O59" i="16"/>
  <c r="M59" i="16"/>
  <c r="K59" i="16"/>
  <c r="X58" i="16"/>
  <c r="W58" i="16"/>
  <c r="V58" i="16"/>
  <c r="U58" i="16"/>
  <c r="T58" i="16"/>
  <c r="S58" i="16"/>
  <c r="Q58" i="16"/>
  <c r="O58" i="16"/>
  <c r="M58" i="16"/>
  <c r="K58" i="16"/>
  <c r="X57" i="16"/>
  <c r="W57" i="16"/>
  <c r="V57" i="16"/>
  <c r="U57" i="16"/>
  <c r="T57" i="16"/>
  <c r="S57" i="16"/>
  <c r="Q57" i="16"/>
  <c r="O57" i="16"/>
  <c r="M57" i="16"/>
  <c r="K57" i="16"/>
  <c r="X56" i="16"/>
  <c r="W56" i="16"/>
  <c r="V56" i="16"/>
  <c r="U56" i="16"/>
  <c r="T56" i="16"/>
  <c r="S56" i="16"/>
  <c r="Q56" i="16"/>
  <c r="O56" i="16"/>
  <c r="M56" i="16"/>
  <c r="K56" i="16"/>
  <c r="X55" i="16"/>
  <c r="W55" i="16"/>
  <c r="V55" i="16"/>
  <c r="U55" i="16"/>
  <c r="T55" i="16"/>
  <c r="S55" i="16"/>
  <c r="Q55" i="16"/>
  <c r="O55" i="16"/>
  <c r="M55" i="16"/>
  <c r="K55" i="16"/>
  <c r="X54" i="16"/>
  <c r="W54" i="16"/>
  <c r="V54" i="16"/>
  <c r="U54" i="16"/>
  <c r="T54" i="16"/>
  <c r="S54" i="16"/>
  <c r="Q54" i="16"/>
  <c r="O54" i="16"/>
  <c r="M54" i="16"/>
  <c r="K54" i="16"/>
  <c r="X53" i="16"/>
  <c r="W53" i="16"/>
  <c r="V53" i="16"/>
  <c r="U53" i="16"/>
  <c r="T53" i="16"/>
  <c r="S53" i="16"/>
  <c r="Q53" i="16"/>
  <c r="O53" i="16"/>
  <c r="M53" i="16"/>
  <c r="K53" i="16"/>
  <c r="X52" i="16"/>
  <c r="W52" i="16"/>
  <c r="V52" i="16"/>
  <c r="U52" i="16"/>
  <c r="T52" i="16"/>
  <c r="S52" i="16"/>
  <c r="Q52" i="16"/>
  <c r="O52" i="16"/>
  <c r="M52" i="16"/>
  <c r="K52" i="16"/>
  <c r="X51" i="16"/>
  <c r="W51" i="16"/>
  <c r="V51" i="16"/>
  <c r="U51" i="16"/>
  <c r="T51" i="16"/>
  <c r="S51" i="16"/>
  <c r="Q51" i="16"/>
  <c r="O51" i="16"/>
  <c r="M51" i="16"/>
  <c r="K51" i="16"/>
  <c r="X50" i="16"/>
  <c r="W50" i="16"/>
  <c r="V50" i="16"/>
  <c r="U50" i="16"/>
  <c r="T50" i="16"/>
  <c r="S50" i="16"/>
  <c r="Q50" i="16"/>
  <c r="O50" i="16"/>
  <c r="M50" i="16"/>
  <c r="K50" i="16"/>
  <c r="X49" i="16"/>
  <c r="W49" i="16"/>
  <c r="V49" i="16"/>
  <c r="U49" i="16"/>
  <c r="T49" i="16"/>
  <c r="S49" i="16"/>
  <c r="Q49" i="16"/>
  <c r="O49" i="16"/>
  <c r="M49" i="16"/>
  <c r="K49" i="16"/>
  <c r="X48" i="16"/>
  <c r="W48" i="16"/>
  <c r="V48" i="16"/>
  <c r="U48" i="16"/>
  <c r="T48" i="16"/>
  <c r="S48" i="16"/>
  <c r="Q48" i="16"/>
  <c r="O48" i="16"/>
  <c r="M48" i="16"/>
  <c r="K48" i="16"/>
  <c r="X47" i="16"/>
  <c r="W47" i="16"/>
  <c r="V47" i="16"/>
  <c r="U47" i="16"/>
  <c r="T47" i="16"/>
  <c r="S47" i="16"/>
  <c r="Q47" i="16"/>
  <c r="O47" i="16"/>
  <c r="M47" i="16"/>
  <c r="K47" i="16"/>
  <c r="X46" i="16"/>
  <c r="W46" i="16"/>
  <c r="V46" i="16"/>
  <c r="U46" i="16"/>
  <c r="T46" i="16"/>
  <c r="S46" i="16"/>
  <c r="Q46" i="16"/>
  <c r="O46" i="16"/>
  <c r="M46" i="16"/>
  <c r="K46" i="16"/>
  <c r="X45" i="16"/>
  <c r="W45" i="16"/>
  <c r="V45" i="16"/>
  <c r="U45" i="16"/>
  <c r="T45" i="16"/>
  <c r="S45" i="16"/>
  <c r="Q45" i="16"/>
  <c r="O45" i="16"/>
  <c r="M45" i="16"/>
  <c r="K45" i="16"/>
  <c r="X44" i="16"/>
  <c r="W44" i="16"/>
  <c r="V44" i="16"/>
  <c r="U44" i="16"/>
  <c r="T44" i="16"/>
  <c r="S44" i="16"/>
  <c r="Q44" i="16"/>
  <c r="O44" i="16"/>
  <c r="M44" i="16"/>
  <c r="K44" i="16"/>
  <c r="X43" i="16"/>
  <c r="W43" i="16"/>
  <c r="V43" i="16"/>
  <c r="U43" i="16"/>
  <c r="T43" i="16"/>
  <c r="S43" i="16"/>
  <c r="Q43" i="16"/>
  <c r="O43" i="16"/>
  <c r="M43" i="16"/>
  <c r="K43" i="16"/>
  <c r="X42" i="16"/>
  <c r="W42" i="16"/>
  <c r="V42" i="16"/>
  <c r="U42" i="16"/>
  <c r="T42" i="16"/>
  <c r="S42" i="16"/>
  <c r="Q42" i="16"/>
  <c r="O42" i="16"/>
  <c r="M42" i="16"/>
  <c r="K42" i="16"/>
  <c r="X41" i="16"/>
  <c r="W41" i="16"/>
  <c r="V41" i="16"/>
  <c r="U41" i="16"/>
  <c r="T41" i="16"/>
  <c r="S41" i="16"/>
  <c r="Q41" i="16"/>
  <c r="O41" i="16"/>
  <c r="M41" i="16"/>
  <c r="K41" i="16"/>
  <c r="X40" i="16"/>
  <c r="W40" i="16"/>
  <c r="V40" i="16"/>
  <c r="U40" i="16"/>
  <c r="T40" i="16"/>
  <c r="S40" i="16"/>
  <c r="Q40" i="16"/>
  <c r="O40" i="16"/>
  <c r="M40" i="16"/>
  <c r="K40" i="16"/>
  <c r="X39" i="16"/>
  <c r="W39" i="16"/>
  <c r="V39" i="16"/>
  <c r="U39" i="16"/>
  <c r="T39" i="16"/>
  <c r="S39" i="16"/>
  <c r="Q39" i="16"/>
  <c r="O39" i="16"/>
  <c r="M39" i="16"/>
  <c r="K39" i="16"/>
  <c r="X38" i="16"/>
  <c r="W38" i="16"/>
  <c r="V38" i="16"/>
  <c r="U38" i="16"/>
  <c r="T38" i="16"/>
  <c r="S38" i="16"/>
  <c r="Q38" i="16"/>
  <c r="O38" i="16"/>
  <c r="M38" i="16"/>
  <c r="K38" i="16"/>
  <c r="X37" i="16"/>
  <c r="W37" i="16"/>
  <c r="V37" i="16"/>
  <c r="U37" i="16"/>
  <c r="T37" i="16"/>
  <c r="S37" i="16"/>
  <c r="Q37" i="16"/>
  <c r="O37" i="16"/>
  <c r="M37" i="16"/>
  <c r="K37" i="16"/>
  <c r="X36" i="16"/>
  <c r="W36" i="16"/>
  <c r="V36" i="16"/>
  <c r="U36" i="16"/>
  <c r="T36" i="16"/>
  <c r="S36" i="16"/>
  <c r="Q36" i="16"/>
  <c r="O36" i="16"/>
  <c r="M36" i="16"/>
  <c r="K36" i="16"/>
  <c r="X35" i="16"/>
  <c r="W35" i="16"/>
  <c r="V35" i="16"/>
  <c r="U35" i="16"/>
  <c r="T35" i="16"/>
  <c r="S35" i="16"/>
  <c r="Q35" i="16"/>
  <c r="O35" i="16"/>
  <c r="M35" i="16"/>
  <c r="K35" i="16"/>
  <c r="X34" i="16"/>
  <c r="W34" i="16"/>
  <c r="V34" i="16"/>
  <c r="U34" i="16"/>
  <c r="T34" i="16"/>
  <c r="S34" i="16"/>
  <c r="Q34" i="16"/>
  <c r="O34" i="16"/>
  <c r="M34" i="16"/>
  <c r="K34" i="16"/>
  <c r="X33" i="16"/>
  <c r="W33" i="16"/>
  <c r="V33" i="16"/>
  <c r="U33" i="16"/>
  <c r="T33" i="16"/>
  <c r="S33" i="16"/>
  <c r="Q33" i="16"/>
  <c r="O33" i="16"/>
  <c r="M33" i="16"/>
  <c r="K33" i="16"/>
  <c r="X32" i="16"/>
  <c r="W32" i="16"/>
  <c r="V32" i="16"/>
  <c r="U32" i="16"/>
  <c r="T32" i="16"/>
  <c r="S32" i="16"/>
  <c r="Q32" i="16"/>
  <c r="O32" i="16"/>
  <c r="M32" i="16"/>
  <c r="K32" i="16"/>
  <c r="X31" i="16"/>
  <c r="W31" i="16"/>
  <c r="V31" i="16"/>
  <c r="U31" i="16"/>
  <c r="T31" i="16"/>
  <c r="S31" i="16"/>
  <c r="Q31" i="16"/>
  <c r="O31" i="16"/>
  <c r="M31" i="16"/>
  <c r="K31" i="16"/>
  <c r="X30" i="16"/>
  <c r="W30" i="16"/>
  <c r="V30" i="16"/>
  <c r="U30" i="16"/>
  <c r="T30" i="16"/>
  <c r="S30" i="16"/>
  <c r="Q30" i="16"/>
  <c r="O30" i="16"/>
  <c r="M30" i="16"/>
  <c r="K30" i="16"/>
  <c r="X29" i="16"/>
  <c r="W29" i="16"/>
  <c r="V29" i="16"/>
  <c r="U29" i="16"/>
  <c r="T29" i="16"/>
  <c r="S29" i="16"/>
  <c r="Q29" i="16"/>
  <c r="O29" i="16"/>
  <c r="M29" i="16"/>
  <c r="K29" i="16"/>
  <c r="X28" i="16"/>
  <c r="W28" i="16"/>
  <c r="V28" i="16"/>
  <c r="U28" i="16"/>
  <c r="T28" i="16"/>
  <c r="S28" i="16"/>
  <c r="Q28" i="16"/>
  <c r="O28" i="16"/>
  <c r="M28" i="16"/>
  <c r="K28" i="16"/>
  <c r="X27" i="16"/>
  <c r="W27" i="16"/>
  <c r="V27" i="16"/>
  <c r="U27" i="16"/>
  <c r="T27" i="16"/>
  <c r="S27" i="16"/>
  <c r="Q27" i="16"/>
  <c r="O27" i="16"/>
  <c r="M27" i="16"/>
  <c r="K27" i="16"/>
  <c r="X26" i="16"/>
  <c r="W26" i="16"/>
  <c r="V26" i="16"/>
  <c r="U26" i="16"/>
  <c r="T26" i="16"/>
  <c r="S26" i="16"/>
  <c r="Q26" i="16"/>
  <c r="O26" i="16"/>
  <c r="M26" i="16"/>
  <c r="K26" i="16"/>
  <c r="X25" i="16"/>
  <c r="W25" i="16"/>
  <c r="V25" i="16"/>
  <c r="U25" i="16"/>
  <c r="T25" i="16"/>
  <c r="S25" i="16"/>
  <c r="Q25" i="16"/>
  <c r="O25" i="16"/>
  <c r="M25" i="16"/>
  <c r="K25" i="16"/>
  <c r="X24" i="16"/>
  <c r="W24" i="16"/>
  <c r="V24" i="16"/>
  <c r="U24" i="16"/>
  <c r="T24" i="16"/>
  <c r="S24" i="16"/>
  <c r="Q24" i="16"/>
  <c r="O24" i="16"/>
  <c r="M24" i="16"/>
  <c r="K24" i="16"/>
  <c r="X23" i="16"/>
  <c r="W23" i="16"/>
  <c r="V23" i="16"/>
  <c r="U23" i="16"/>
  <c r="T23" i="16"/>
  <c r="S23" i="16"/>
  <c r="Q23" i="16"/>
  <c r="O23" i="16"/>
  <c r="M23" i="16"/>
  <c r="K23" i="16"/>
  <c r="X22" i="16"/>
  <c r="W22" i="16"/>
  <c r="V22" i="16"/>
  <c r="U22" i="16"/>
  <c r="T22" i="16"/>
  <c r="S22" i="16"/>
  <c r="Q22" i="16"/>
  <c r="O22" i="16"/>
  <c r="M22" i="16"/>
  <c r="K22" i="16"/>
  <c r="X21" i="16"/>
  <c r="W21" i="16"/>
  <c r="V21" i="16"/>
  <c r="U21" i="16"/>
  <c r="T21" i="16"/>
  <c r="S21" i="16"/>
  <c r="Q21" i="16"/>
  <c r="O21" i="16"/>
  <c r="M21" i="16"/>
  <c r="K21" i="16"/>
  <c r="X20" i="16"/>
  <c r="W20" i="16"/>
  <c r="V20" i="16"/>
  <c r="U20" i="16"/>
  <c r="T20" i="16"/>
  <c r="S20" i="16"/>
  <c r="Q20" i="16"/>
  <c r="O20" i="16"/>
  <c r="M20" i="16"/>
  <c r="K20" i="16"/>
  <c r="X19" i="16"/>
  <c r="W19" i="16"/>
  <c r="V19" i="16"/>
  <c r="U19" i="16"/>
  <c r="T19" i="16"/>
  <c r="S19" i="16"/>
  <c r="Q19" i="16"/>
  <c r="O19" i="16"/>
  <c r="M19" i="16"/>
  <c r="K19" i="16"/>
  <c r="X18" i="16"/>
  <c r="W18" i="16"/>
  <c r="V18" i="16"/>
  <c r="U18" i="16"/>
  <c r="T18" i="16"/>
  <c r="S18" i="16"/>
  <c r="Q18" i="16"/>
  <c r="O18" i="16"/>
  <c r="M18" i="16"/>
  <c r="K18" i="16"/>
  <c r="X17" i="16"/>
  <c r="W17" i="16"/>
  <c r="V17" i="16"/>
  <c r="U17" i="16"/>
  <c r="T17" i="16"/>
  <c r="S17" i="16"/>
  <c r="Q17" i="16"/>
  <c r="O17" i="16"/>
  <c r="M17" i="16"/>
  <c r="K17" i="16"/>
  <c r="X16" i="16"/>
  <c r="W16" i="16"/>
  <c r="V16" i="16"/>
  <c r="U16" i="16"/>
  <c r="T16" i="16"/>
  <c r="S16" i="16"/>
  <c r="Q16" i="16"/>
  <c r="O16" i="16"/>
  <c r="M16" i="16"/>
  <c r="K16" i="16"/>
  <c r="X15" i="16"/>
  <c r="W15" i="16"/>
  <c r="V15" i="16"/>
  <c r="U15" i="16"/>
  <c r="T15" i="16"/>
  <c r="S15" i="16"/>
  <c r="Q15" i="16"/>
  <c r="O15" i="16"/>
  <c r="M15" i="16"/>
  <c r="K15" i="16"/>
  <c r="X14" i="16"/>
  <c r="W14" i="16"/>
  <c r="V14" i="16"/>
  <c r="U14" i="16"/>
  <c r="T14" i="16"/>
  <c r="S14" i="16"/>
  <c r="Q14" i="16"/>
  <c r="O14" i="16"/>
  <c r="M14" i="16"/>
  <c r="K14" i="16"/>
  <c r="X13" i="16"/>
  <c r="W13" i="16"/>
  <c r="V13" i="16"/>
  <c r="U13" i="16"/>
  <c r="T13" i="16"/>
  <c r="S13" i="16"/>
  <c r="Q13" i="16"/>
  <c r="O13" i="16"/>
  <c r="M13" i="16"/>
  <c r="K13" i="16"/>
  <c r="X12" i="16"/>
  <c r="W12" i="16"/>
  <c r="V12" i="16"/>
  <c r="U12" i="16"/>
  <c r="T12" i="16"/>
  <c r="S12" i="16"/>
  <c r="Q12" i="16"/>
  <c r="O12" i="16"/>
  <c r="M12" i="16"/>
  <c r="K12" i="16"/>
  <c r="X11" i="16"/>
  <c r="W11" i="16"/>
  <c r="V11" i="16"/>
  <c r="U11" i="16"/>
  <c r="T11" i="16"/>
  <c r="S11" i="16"/>
  <c r="Q11" i="16"/>
  <c r="O11" i="16"/>
  <c r="M11" i="16"/>
  <c r="K11" i="16"/>
  <c r="X10" i="16"/>
  <c r="W10" i="16"/>
  <c r="V10" i="16"/>
  <c r="U10" i="16"/>
  <c r="T10" i="16"/>
  <c r="S10" i="16"/>
  <c r="Q10" i="16"/>
  <c r="O10" i="16"/>
  <c r="M10" i="16"/>
  <c r="K10" i="16"/>
  <c r="X9" i="16"/>
  <c r="W9" i="16"/>
  <c r="V9" i="16"/>
  <c r="U9" i="16"/>
  <c r="T9" i="16"/>
  <c r="S9" i="16"/>
  <c r="Q9" i="16"/>
  <c r="O9" i="16"/>
  <c r="M9" i="16"/>
  <c r="K9" i="16"/>
  <c r="X8" i="16"/>
  <c r="W8" i="16"/>
  <c r="V8" i="16"/>
  <c r="U8" i="16"/>
  <c r="T8" i="16"/>
  <c r="S8" i="16"/>
  <c r="Q8" i="16"/>
  <c r="O8" i="16"/>
  <c r="M8" i="16"/>
  <c r="K8" i="16"/>
  <c r="X7" i="16"/>
  <c r="W7" i="16"/>
  <c r="V7" i="16"/>
  <c r="U7" i="16"/>
  <c r="T7" i="16"/>
  <c r="S7" i="16"/>
  <c r="Q7" i="16"/>
  <c r="O7" i="16"/>
  <c r="M7" i="16"/>
  <c r="K7" i="16"/>
  <c r="X294" i="15"/>
  <c r="W294" i="15"/>
  <c r="V294" i="15"/>
  <c r="U294" i="15"/>
  <c r="T294" i="15"/>
  <c r="S294" i="15"/>
  <c r="Q294" i="15"/>
  <c r="O294" i="15"/>
  <c r="M294" i="15"/>
  <c r="K294" i="15"/>
  <c r="X293" i="15"/>
  <c r="W293" i="15"/>
  <c r="V293" i="15"/>
  <c r="U293" i="15"/>
  <c r="T293" i="15"/>
  <c r="S293" i="15"/>
  <c r="Q293" i="15"/>
  <c r="O293" i="15"/>
  <c r="M293" i="15"/>
  <c r="K293" i="15"/>
  <c r="X292" i="15"/>
  <c r="W292" i="15"/>
  <c r="V292" i="15"/>
  <c r="U292" i="15"/>
  <c r="T292" i="15"/>
  <c r="S292" i="15"/>
  <c r="Q292" i="15"/>
  <c r="O292" i="15"/>
  <c r="M292" i="15"/>
  <c r="K292" i="15"/>
  <c r="X291" i="15"/>
  <c r="W291" i="15"/>
  <c r="V291" i="15"/>
  <c r="U291" i="15"/>
  <c r="T291" i="15"/>
  <c r="S291" i="15"/>
  <c r="Q291" i="15"/>
  <c r="O291" i="15"/>
  <c r="M291" i="15"/>
  <c r="K291" i="15"/>
  <c r="X290" i="15"/>
  <c r="W290" i="15"/>
  <c r="V290" i="15"/>
  <c r="U290" i="15"/>
  <c r="T290" i="15"/>
  <c r="S290" i="15"/>
  <c r="Q290" i="15"/>
  <c r="O290" i="15"/>
  <c r="M290" i="15"/>
  <c r="K290" i="15"/>
  <c r="X289" i="15"/>
  <c r="W289" i="15"/>
  <c r="V289" i="15"/>
  <c r="U289" i="15"/>
  <c r="T289" i="15"/>
  <c r="S289" i="15"/>
  <c r="Q289" i="15"/>
  <c r="O289" i="15"/>
  <c r="M289" i="15"/>
  <c r="K289" i="15"/>
  <c r="X288" i="15"/>
  <c r="W288" i="15"/>
  <c r="V288" i="15"/>
  <c r="U288" i="15"/>
  <c r="T288" i="15"/>
  <c r="S288" i="15"/>
  <c r="Q288" i="15"/>
  <c r="O288" i="15"/>
  <c r="M288" i="15"/>
  <c r="K288" i="15"/>
  <c r="X287" i="15"/>
  <c r="W287" i="15"/>
  <c r="V287" i="15"/>
  <c r="U287" i="15"/>
  <c r="T287" i="15"/>
  <c r="S287" i="15"/>
  <c r="Q287" i="15"/>
  <c r="O287" i="15"/>
  <c r="M287" i="15"/>
  <c r="K287" i="15"/>
  <c r="X286" i="15"/>
  <c r="W286" i="15"/>
  <c r="V286" i="15"/>
  <c r="U286" i="15"/>
  <c r="T286" i="15"/>
  <c r="S286" i="15"/>
  <c r="Q286" i="15"/>
  <c r="O286" i="15"/>
  <c r="M286" i="15"/>
  <c r="K286" i="15"/>
  <c r="X285" i="15"/>
  <c r="W285" i="15"/>
  <c r="V285" i="15"/>
  <c r="U285" i="15"/>
  <c r="T285" i="15"/>
  <c r="S285" i="15"/>
  <c r="Q285" i="15"/>
  <c r="O285" i="15"/>
  <c r="M285" i="15"/>
  <c r="K285" i="15"/>
  <c r="X284" i="15"/>
  <c r="W284" i="15"/>
  <c r="V284" i="15"/>
  <c r="U284" i="15"/>
  <c r="T284" i="15"/>
  <c r="S284" i="15"/>
  <c r="Q284" i="15"/>
  <c r="O284" i="15"/>
  <c r="M284" i="15"/>
  <c r="K284" i="15"/>
  <c r="X283" i="15"/>
  <c r="W283" i="15"/>
  <c r="V283" i="15"/>
  <c r="U283" i="15"/>
  <c r="T283" i="15"/>
  <c r="S283" i="15"/>
  <c r="Q283" i="15"/>
  <c r="O283" i="15"/>
  <c r="M283" i="15"/>
  <c r="K283" i="15"/>
  <c r="X282" i="15"/>
  <c r="W282" i="15"/>
  <c r="V282" i="15"/>
  <c r="U282" i="15"/>
  <c r="T282" i="15"/>
  <c r="S282" i="15"/>
  <c r="Q282" i="15"/>
  <c r="O282" i="15"/>
  <c r="M282" i="15"/>
  <c r="K282" i="15"/>
  <c r="X281" i="15"/>
  <c r="W281" i="15"/>
  <c r="V281" i="15"/>
  <c r="U281" i="15"/>
  <c r="T281" i="15"/>
  <c r="S281" i="15"/>
  <c r="Q281" i="15"/>
  <c r="O281" i="15"/>
  <c r="M281" i="15"/>
  <c r="K281" i="15"/>
  <c r="X280" i="15"/>
  <c r="W280" i="15"/>
  <c r="V280" i="15"/>
  <c r="U280" i="15"/>
  <c r="T280" i="15"/>
  <c r="S280" i="15"/>
  <c r="Q280" i="15"/>
  <c r="O280" i="15"/>
  <c r="M280" i="15"/>
  <c r="K280" i="15"/>
  <c r="X279" i="15"/>
  <c r="W279" i="15"/>
  <c r="V279" i="15"/>
  <c r="U279" i="15"/>
  <c r="T279" i="15"/>
  <c r="S279" i="15"/>
  <c r="Q279" i="15"/>
  <c r="O279" i="15"/>
  <c r="M279" i="15"/>
  <c r="K279" i="15"/>
  <c r="X278" i="15"/>
  <c r="W278" i="15"/>
  <c r="V278" i="15"/>
  <c r="U278" i="15"/>
  <c r="T278" i="15"/>
  <c r="S278" i="15"/>
  <c r="Q278" i="15"/>
  <c r="O278" i="15"/>
  <c r="M278" i="15"/>
  <c r="K278" i="15"/>
  <c r="X277" i="15"/>
  <c r="W277" i="15"/>
  <c r="V277" i="15"/>
  <c r="U277" i="15"/>
  <c r="T277" i="15"/>
  <c r="S277" i="15"/>
  <c r="Q277" i="15"/>
  <c r="O277" i="15"/>
  <c r="M277" i="15"/>
  <c r="K277" i="15"/>
  <c r="X276" i="15"/>
  <c r="W276" i="15"/>
  <c r="V276" i="15"/>
  <c r="U276" i="15"/>
  <c r="T276" i="15"/>
  <c r="S276" i="15"/>
  <c r="Q276" i="15"/>
  <c r="O276" i="15"/>
  <c r="M276" i="15"/>
  <c r="K276" i="15"/>
  <c r="X275" i="15"/>
  <c r="W275" i="15"/>
  <c r="V275" i="15"/>
  <c r="U275" i="15"/>
  <c r="T275" i="15"/>
  <c r="S275" i="15"/>
  <c r="Q275" i="15"/>
  <c r="O275" i="15"/>
  <c r="M275" i="15"/>
  <c r="K275" i="15"/>
  <c r="X274" i="15"/>
  <c r="W274" i="15"/>
  <c r="V274" i="15"/>
  <c r="U274" i="15"/>
  <c r="T274" i="15"/>
  <c r="S274" i="15"/>
  <c r="Q274" i="15"/>
  <c r="O274" i="15"/>
  <c r="M274" i="15"/>
  <c r="K274" i="15"/>
  <c r="X273" i="15"/>
  <c r="W273" i="15"/>
  <c r="V273" i="15"/>
  <c r="U273" i="15"/>
  <c r="T273" i="15"/>
  <c r="S273" i="15"/>
  <c r="Q273" i="15"/>
  <c r="O273" i="15"/>
  <c r="M273" i="15"/>
  <c r="K273" i="15"/>
  <c r="X272" i="15"/>
  <c r="W272" i="15"/>
  <c r="V272" i="15"/>
  <c r="U272" i="15"/>
  <c r="T272" i="15"/>
  <c r="S272" i="15"/>
  <c r="Q272" i="15"/>
  <c r="O272" i="15"/>
  <c r="M272" i="15"/>
  <c r="K272" i="15"/>
  <c r="X271" i="15"/>
  <c r="W271" i="15"/>
  <c r="V271" i="15"/>
  <c r="U271" i="15"/>
  <c r="T271" i="15"/>
  <c r="S271" i="15"/>
  <c r="Q271" i="15"/>
  <c r="O271" i="15"/>
  <c r="M271" i="15"/>
  <c r="K271" i="15"/>
  <c r="X270" i="15"/>
  <c r="W270" i="15"/>
  <c r="V270" i="15"/>
  <c r="U270" i="15"/>
  <c r="T270" i="15"/>
  <c r="S270" i="15"/>
  <c r="Q270" i="15"/>
  <c r="O270" i="15"/>
  <c r="M270" i="15"/>
  <c r="K270" i="15"/>
  <c r="X269" i="15"/>
  <c r="W269" i="15"/>
  <c r="V269" i="15"/>
  <c r="U269" i="15"/>
  <c r="T269" i="15"/>
  <c r="S269" i="15"/>
  <c r="Q269" i="15"/>
  <c r="O269" i="15"/>
  <c r="M269" i="15"/>
  <c r="K269" i="15"/>
  <c r="X268" i="15"/>
  <c r="W268" i="15"/>
  <c r="V268" i="15"/>
  <c r="U268" i="15"/>
  <c r="T268" i="15"/>
  <c r="S268" i="15"/>
  <c r="Q268" i="15"/>
  <c r="O268" i="15"/>
  <c r="M268" i="15"/>
  <c r="K268" i="15"/>
  <c r="X267" i="15"/>
  <c r="W267" i="15"/>
  <c r="V267" i="15"/>
  <c r="U267" i="15"/>
  <c r="T267" i="15"/>
  <c r="S267" i="15"/>
  <c r="Q267" i="15"/>
  <c r="O267" i="15"/>
  <c r="M267" i="15"/>
  <c r="K267" i="15"/>
  <c r="X266" i="15"/>
  <c r="W266" i="15"/>
  <c r="V266" i="15"/>
  <c r="U266" i="15"/>
  <c r="T266" i="15"/>
  <c r="S266" i="15"/>
  <c r="Q266" i="15"/>
  <c r="O266" i="15"/>
  <c r="M266" i="15"/>
  <c r="K266" i="15"/>
  <c r="X265" i="15"/>
  <c r="W265" i="15"/>
  <c r="V265" i="15"/>
  <c r="U265" i="15"/>
  <c r="T265" i="15"/>
  <c r="S265" i="15"/>
  <c r="Q265" i="15"/>
  <c r="O265" i="15"/>
  <c r="M265" i="15"/>
  <c r="K265" i="15"/>
  <c r="X264" i="15"/>
  <c r="W264" i="15"/>
  <c r="V264" i="15"/>
  <c r="U264" i="15"/>
  <c r="T264" i="15"/>
  <c r="S264" i="15"/>
  <c r="Q264" i="15"/>
  <c r="O264" i="15"/>
  <c r="M264" i="15"/>
  <c r="K264" i="15"/>
  <c r="X263" i="15"/>
  <c r="W263" i="15"/>
  <c r="V263" i="15"/>
  <c r="U263" i="15"/>
  <c r="T263" i="15"/>
  <c r="S263" i="15"/>
  <c r="Q263" i="15"/>
  <c r="O263" i="15"/>
  <c r="M263" i="15"/>
  <c r="K263" i="15"/>
  <c r="X262" i="15"/>
  <c r="W262" i="15"/>
  <c r="V262" i="15"/>
  <c r="U262" i="15"/>
  <c r="T262" i="15"/>
  <c r="S262" i="15"/>
  <c r="Q262" i="15"/>
  <c r="O262" i="15"/>
  <c r="M262" i="15"/>
  <c r="K262" i="15"/>
  <c r="X261" i="15"/>
  <c r="W261" i="15"/>
  <c r="V261" i="15"/>
  <c r="U261" i="15"/>
  <c r="T261" i="15"/>
  <c r="S261" i="15"/>
  <c r="Q261" i="15"/>
  <c r="O261" i="15"/>
  <c r="M261" i="15"/>
  <c r="K261" i="15"/>
  <c r="X260" i="15"/>
  <c r="W260" i="15"/>
  <c r="V260" i="15"/>
  <c r="U260" i="15"/>
  <c r="T260" i="15"/>
  <c r="S260" i="15"/>
  <c r="Q260" i="15"/>
  <c r="O260" i="15"/>
  <c r="M260" i="15"/>
  <c r="K260" i="15"/>
  <c r="X259" i="15"/>
  <c r="W259" i="15"/>
  <c r="V259" i="15"/>
  <c r="U259" i="15"/>
  <c r="T259" i="15"/>
  <c r="S259" i="15"/>
  <c r="Q259" i="15"/>
  <c r="O259" i="15"/>
  <c r="M259" i="15"/>
  <c r="K259" i="15"/>
  <c r="X258" i="15"/>
  <c r="W258" i="15"/>
  <c r="V258" i="15"/>
  <c r="U258" i="15"/>
  <c r="T258" i="15"/>
  <c r="S258" i="15"/>
  <c r="Q258" i="15"/>
  <c r="O258" i="15"/>
  <c r="M258" i="15"/>
  <c r="K258" i="15"/>
  <c r="X257" i="15"/>
  <c r="W257" i="15"/>
  <c r="V257" i="15"/>
  <c r="U257" i="15"/>
  <c r="T257" i="15"/>
  <c r="S257" i="15"/>
  <c r="Q257" i="15"/>
  <c r="O257" i="15"/>
  <c r="M257" i="15"/>
  <c r="K257" i="15"/>
  <c r="X256" i="15"/>
  <c r="W256" i="15"/>
  <c r="V256" i="15"/>
  <c r="U256" i="15"/>
  <c r="T256" i="15"/>
  <c r="S256" i="15"/>
  <c r="Q256" i="15"/>
  <c r="O256" i="15"/>
  <c r="M256" i="15"/>
  <c r="K256" i="15"/>
  <c r="X255" i="15"/>
  <c r="W255" i="15"/>
  <c r="V255" i="15"/>
  <c r="U255" i="15"/>
  <c r="T255" i="15"/>
  <c r="S255" i="15"/>
  <c r="Q255" i="15"/>
  <c r="O255" i="15"/>
  <c r="M255" i="15"/>
  <c r="K255" i="15"/>
  <c r="X254" i="15"/>
  <c r="W254" i="15"/>
  <c r="V254" i="15"/>
  <c r="U254" i="15"/>
  <c r="T254" i="15"/>
  <c r="S254" i="15"/>
  <c r="Q254" i="15"/>
  <c r="O254" i="15"/>
  <c r="M254" i="15"/>
  <c r="K254" i="15"/>
  <c r="X253" i="15"/>
  <c r="W253" i="15"/>
  <c r="V253" i="15"/>
  <c r="U253" i="15"/>
  <c r="T253" i="15"/>
  <c r="S253" i="15"/>
  <c r="Q253" i="15"/>
  <c r="O253" i="15"/>
  <c r="M253" i="15"/>
  <c r="K253" i="15"/>
  <c r="X252" i="15"/>
  <c r="W252" i="15"/>
  <c r="V252" i="15"/>
  <c r="U252" i="15"/>
  <c r="T252" i="15"/>
  <c r="S252" i="15"/>
  <c r="Q252" i="15"/>
  <c r="O252" i="15"/>
  <c r="M252" i="15"/>
  <c r="K252" i="15"/>
  <c r="X251" i="15"/>
  <c r="W251" i="15"/>
  <c r="V251" i="15"/>
  <c r="U251" i="15"/>
  <c r="T251" i="15"/>
  <c r="S251" i="15"/>
  <c r="Q251" i="15"/>
  <c r="O251" i="15"/>
  <c r="M251" i="15"/>
  <c r="K251" i="15"/>
  <c r="X250" i="15"/>
  <c r="W250" i="15"/>
  <c r="V250" i="15"/>
  <c r="U250" i="15"/>
  <c r="T250" i="15"/>
  <c r="S250" i="15"/>
  <c r="Q250" i="15"/>
  <c r="O250" i="15"/>
  <c r="M250" i="15"/>
  <c r="K250" i="15"/>
  <c r="X249" i="15"/>
  <c r="W249" i="15"/>
  <c r="V249" i="15"/>
  <c r="U249" i="15"/>
  <c r="T249" i="15"/>
  <c r="S249" i="15"/>
  <c r="Q249" i="15"/>
  <c r="O249" i="15"/>
  <c r="M249" i="15"/>
  <c r="K249" i="15"/>
  <c r="X248" i="15"/>
  <c r="W248" i="15"/>
  <c r="V248" i="15"/>
  <c r="U248" i="15"/>
  <c r="T248" i="15"/>
  <c r="S248" i="15"/>
  <c r="Q248" i="15"/>
  <c r="O248" i="15"/>
  <c r="M248" i="15"/>
  <c r="K248" i="15"/>
  <c r="X247" i="15"/>
  <c r="W247" i="15"/>
  <c r="V247" i="15"/>
  <c r="U247" i="15"/>
  <c r="T247" i="15"/>
  <c r="S247" i="15"/>
  <c r="Q247" i="15"/>
  <c r="O247" i="15"/>
  <c r="M247" i="15"/>
  <c r="K247" i="15"/>
  <c r="X246" i="15"/>
  <c r="W246" i="15"/>
  <c r="V246" i="15"/>
  <c r="U246" i="15"/>
  <c r="T246" i="15"/>
  <c r="S246" i="15"/>
  <c r="Q246" i="15"/>
  <c r="O246" i="15"/>
  <c r="M246" i="15"/>
  <c r="K246" i="15"/>
  <c r="X245" i="15"/>
  <c r="W245" i="15"/>
  <c r="V245" i="15"/>
  <c r="U245" i="15"/>
  <c r="T245" i="15"/>
  <c r="S245" i="15"/>
  <c r="Q245" i="15"/>
  <c r="O245" i="15"/>
  <c r="M245" i="15"/>
  <c r="K245" i="15"/>
  <c r="X244" i="15"/>
  <c r="W244" i="15"/>
  <c r="V244" i="15"/>
  <c r="U244" i="15"/>
  <c r="T244" i="15"/>
  <c r="S244" i="15"/>
  <c r="Q244" i="15"/>
  <c r="O244" i="15"/>
  <c r="M244" i="15"/>
  <c r="K244" i="15"/>
  <c r="X243" i="15"/>
  <c r="W243" i="15"/>
  <c r="V243" i="15"/>
  <c r="U243" i="15"/>
  <c r="T243" i="15"/>
  <c r="S243" i="15"/>
  <c r="Q243" i="15"/>
  <c r="O243" i="15"/>
  <c r="M243" i="15"/>
  <c r="K243" i="15"/>
  <c r="X242" i="15"/>
  <c r="W242" i="15"/>
  <c r="V242" i="15"/>
  <c r="U242" i="15"/>
  <c r="T242" i="15"/>
  <c r="S242" i="15"/>
  <c r="Q242" i="15"/>
  <c r="O242" i="15"/>
  <c r="M242" i="15"/>
  <c r="K242" i="15"/>
  <c r="X241" i="15"/>
  <c r="W241" i="15"/>
  <c r="V241" i="15"/>
  <c r="U241" i="15"/>
  <c r="T241" i="15"/>
  <c r="S241" i="15"/>
  <c r="Q241" i="15"/>
  <c r="O241" i="15"/>
  <c r="M241" i="15"/>
  <c r="K241" i="15"/>
  <c r="X240" i="15"/>
  <c r="W240" i="15"/>
  <c r="V240" i="15"/>
  <c r="U240" i="15"/>
  <c r="T240" i="15"/>
  <c r="S240" i="15"/>
  <c r="Q240" i="15"/>
  <c r="O240" i="15"/>
  <c r="M240" i="15"/>
  <c r="K240" i="15"/>
  <c r="X239" i="15"/>
  <c r="W239" i="15"/>
  <c r="V239" i="15"/>
  <c r="U239" i="15"/>
  <c r="T239" i="15"/>
  <c r="S239" i="15"/>
  <c r="Q239" i="15"/>
  <c r="O239" i="15"/>
  <c r="M239" i="15"/>
  <c r="K239" i="15"/>
  <c r="X238" i="15"/>
  <c r="W238" i="15"/>
  <c r="V238" i="15"/>
  <c r="U238" i="15"/>
  <c r="T238" i="15"/>
  <c r="S238" i="15"/>
  <c r="Q238" i="15"/>
  <c r="O238" i="15"/>
  <c r="M238" i="15"/>
  <c r="K238" i="15"/>
  <c r="X237" i="15"/>
  <c r="W237" i="15"/>
  <c r="V237" i="15"/>
  <c r="U237" i="15"/>
  <c r="T237" i="15"/>
  <c r="S237" i="15"/>
  <c r="Q237" i="15"/>
  <c r="O237" i="15"/>
  <c r="M237" i="15"/>
  <c r="K237" i="15"/>
  <c r="X236" i="15"/>
  <c r="W236" i="15"/>
  <c r="V236" i="15"/>
  <c r="U236" i="15"/>
  <c r="T236" i="15"/>
  <c r="S236" i="15"/>
  <c r="Q236" i="15"/>
  <c r="O236" i="15"/>
  <c r="M236" i="15"/>
  <c r="K236" i="15"/>
  <c r="X235" i="15"/>
  <c r="W235" i="15"/>
  <c r="V235" i="15"/>
  <c r="U235" i="15"/>
  <c r="T235" i="15"/>
  <c r="S235" i="15"/>
  <c r="Q235" i="15"/>
  <c r="O235" i="15"/>
  <c r="M235" i="15"/>
  <c r="K235" i="15"/>
  <c r="X234" i="15"/>
  <c r="W234" i="15"/>
  <c r="V234" i="15"/>
  <c r="U234" i="15"/>
  <c r="T234" i="15"/>
  <c r="S234" i="15"/>
  <c r="Q234" i="15"/>
  <c r="O234" i="15"/>
  <c r="M234" i="15"/>
  <c r="K234" i="15"/>
  <c r="X233" i="15"/>
  <c r="W233" i="15"/>
  <c r="V233" i="15"/>
  <c r="U233" i="15"/>
  <c r="T233" i="15"/>
  <c r="S233" i="15"/>
  <c r="Q233" i="15"/>
  <c r="O233" i="15"/>
  <c r="M233" i="15"/>
  <c r="K233" i="15"/>
  <c r="X232" i="15"/>
  <c r="W232" i="15"/>
  <c r="V232" i="15"/>
  <c r="U232" i="15"/>
  <c r="T232" i="15"/>
  <c r="S232" i="15"/>
  <c r="Q232" i="15"/>
  <c r="O232" i="15"/>
  <c r="M232" i="15"/>
  <c r="K232" i="15"/>
  <c r="X231" i="15"/>
  <c r="W231" i="15"/>
  <c r="V231" i="15"/>
  <c r="U231" i="15"/>
  <c r="T231" i="15"/>
  <c r="S231" i="15"/>
  <c r="Q231" i="15"/>
  <c r="O231" i="15"/>
  <c r="M231" i="15"/>
  <c r="K231" i="15"/>
  <c r="X230" i="15"/>
  <c r="W230" i="15"/>
  <c r="V230" i="15"/>
  <c r="U230" i="15"/>
  <c r="T230" i="15"/>
  <c r="S230" i="15"/>
  <c r="Q230" i="15"/>
  <c r="O230" i="15"/>
  <c r="M230" i="15"/>
  <c r="K230" i="15"/>
  <c r="X229" i="15"/>
  <c r="W229" i="15"/>
  <c r="V229" i="15"/>
  <c r="U229" i="15"/>
  <c r="T229" i="15"/>
  <c r="S229" i="15"/>
  <c r="Q229" i="15"/>
  <c r="O229" i="15"/>
  <c r="M229" i="15"/>
  <c r="K229" i="15"/>
  <c r="X228" i="15"/>
  <c r="W228" i="15"/>
  <c r="V228" i="15"/>
  <c r="U228" i="15"/>
  <c r="T228" i="15"/>
  <c r="S228" i="15"/>
  <c r="Q228" i="15"/>
  <c r="O228" i="15"/>
  <c r="M228" i="15"/>
  <c r="K228" i="15"/>
  <c r="X227" i="15"/>
  <c r="W227" i="15"/>
  <c r="V227" i="15"/>
  <c r="U227" i="15"/>
  <c r="T227" i="15"/>
  <c r="S227" i="15"/>
  <c r="Q227" i="15"/>
  <c r="O227" i="15"/>
  <c r="M227" i="15"/>
  <c r="K227" i="15"/>
  <c r="X226" i="15"/>
  <c r="W226" i="15"/>
  <c r="V226" i="15"/>
  <c r="U226" i="15"/>
  <c r="T226" i="15"/>
  <c r="S226" i="15"/>
  <c r="Q226" i="15"/>
  <c r="O226" i="15"/>
  <c r="M226" i="15"/>
  <c r="K226" i="15"/>
  <c r="X225" i="15"/>
  <c r="W225" i="15"/>
  <c r="V225" i="15"/>
  <c r="U225" i="15"/>
  <c r="T225" i="15"/>
  <c r="S225" i="15"/>
  <c r="Q225" i="15"/>
  <c r="O225" i="15"/>
  <c r="M225" i="15"/>
  <c r="K225" i="15"/>
  <c r="X224" i="15"/>
  <c r="W224" i="15"/>
  <c r="V224" i="15"/>
  <c r="U224" i="15"/>
  <c r="T224" i="15"/>
  <c r="S224" i="15"/>
  <c r="Q224" i="15"/>
  <c r="O224" i="15"/>
  <c r="M224" i="15"/>
  <c r="K224" i="15"/>
  <c r="X223" i="15"/>
  <c r="W223" i="15"/>
  <c r="V223" i="15"/>
  <c r="U223" i="15"/>
  <c r="T223" i="15"/>
  <c r="S223" i="15"/>
  <c r="Q223" i="15"/>
  <c r="O223" i="15"/>
  <c r="M223" i="15"/>
  <c r="K223" i="15"/>
  <c r="X222" i="15"/>
  <c r="W222" i="15"/>
  <c r="V222" i="15"/>
  <c r="U222" i="15"/>
  <c r="T222" i="15"/>
  <c r="S222" i="15"/>
  <c r="Q222" i="15"/>
  <c r="O222" i="15"/>
  <c r="M222" i="15"/>
  <c r="K222" i="15"/>
  <c r="X221" i="15"/>
  <c r="W221" i="15"/>
  <c r="V221" i="15"/>
  <c r="U221" i="15"/>
  <c r="T221" i="15"/>
  <c r="S221" i="15"/>
  <c r="Q221" i="15"/>
  <c r="O221" i="15"/>
  <c r="M221" i="15"/>
  <c r="K221" i="15"/>
  <c r="X220" i="15"/>
  <c r="W220" i="15"/>
  <c r="V220" i="15"/>
  <c r="U220" i="15"/>
  <c r="T220" i="15"/>
  <c r="S220" i="15"/>
  <c r="Q220" i="15"/>
  <c r="O220" i="15"/>
  <c r="M220" i="15"/>
  <c r="K220" i="15"/>
  <c r="X219" i="15"/>
  <c r="W219" i="15"/>
  <c r="V219" i="15"/>
  <c r="U219" i="15"/>
  <c r="T219" i="15"/>
  <c r="S219" i="15"/>
  <c r="Q219" i="15"/>
  <c r="O219" i="15"/>
  <c r="M219" i="15"/>
  <c r="K219" i="15"/>
  <c r="X218" i="15"/>
  <c r="W218" i="15"/>
  <c r="V218" i="15"/>
  <c r="U218" i="15"/>
  <c r="T218" i="15"/>
  <c r="S218" i="15"/>
  <c r="Q218" i="15"/>
  <c r="O218" i="15"/>
  <c r="M218" i="15"/>
  <c r="K218" i="15"/>
  <c r="X217" i="15"/>
  <c r="W217" i="15"/>
  <c r="V217" i="15"/>
  <c r="U217" i="15"/>
  <c r="T217" i="15"/>
  <c r="S217" i="15"/>
  <c r="Q217" i="15"/>
  <c r="O217" i="15"/>
  <c r="M217" i="15"/>
  <c r="K217" i="15"/>
  <c r="X216" i="15"/>
  <c r="W216" i="15"/>
  <c r="V216" i="15"/>
  <c r="U216" i="15"/>
  <c r="T216" i="15"/>
  <c r="S216" i="15"/>
  <c r="Q216" i="15"/>
  <c r="O216" i="15"/>
  <c r="M216" i="15"/>
  <c r="K216" i="15"/>
  <c r="X215" i="15"/>
  <c r="W215" i="15"/>
  <c r="V215" i="15"/>
  <c r="U215" i="15"/>
  <c r="T215" i="15"/>
  <c r="S215" i="15"/>
  <c r="Q215" i="15"/>
  <c r="O215" i="15"/>
  <c r="M215" i="15"/>
  <c r="K215" i="15"/>
  <c r="X214" i="15"/>
  <c r="W214" i="15"/>
  <c r="V214" i="15"/>
  <c r="U214" i="15"/>
  <c r="T214" i="15"/>
  <c r="S214" i="15"/>
  <c r="Q214" i="15"/>
  <c r="O214" i="15"/>
  <c r="M214" i="15"/>
  <c r="K214" i="15"/>
  <c r="X213" i="15"/>
  <c r="W213" i="15"/>
  <c r="V213" i="15"/>
  <c r="U213" i="15"/>
  <c r="T213" i="15"/>
  <c r="S213" i="15"/>
  <c r="Q213" i="15"/>
  <c r="O213" i="15"/>
  <c r="M213" i="15"/>
  <c r="K213" i="15"/>
  <c r="X212" i="15"/>
  <c r="W212" i="15"/>
  <c r="V212" i="15"/>
  <c r="U212" i="15"/>
  <c r="T212" i="15"/>
  <c r="S212" i="15"/>
  <c r="Q212" i="15"/>
  <c r="O212" i="15"/>
  <c r="M212" i="15"/>
  <c r="K212" i="15"/>
  <c r="X211" i="15"/>
  <c r="W211" i="15"/>
  <c r="V211" i="15"/>
  <c r="U211" i="15"/>
  <c r="T211" i="15"/>
  <c r="S211" i="15"/>
  <c r="Q211" i="15"/>
  <c r="O211" i="15"/>
  <c r="M211" i="15"/>
  <c r="K211" i="15"/>
  <c r="X210" i="15"/>
  <c r="W210" i="15"/>
  <c r="V210" i="15"/>
  <c r="U210" i="15"/>
  <c r="T210" i="15"/>
  <c r="S210" i="15"/>
  <c r="Q210" i="15"/>
  <c r="O210" i="15"/>
  <c r="M210" i="15"/>
  <c r="K210" i="15"/>
  <c r="X209" i="15"/>
  <c r="W209" i="15"/>
  <c r="V209" i="15"/>
  <c r="U209" i="15"/>
  <c r="T209" i="15"/>
  <c r="S209" i="15"/>
  <c r="Q209" i="15"/>
  <c r="O209" i="15"/>
  <c r="M209" i="15"/>
  <c r="K209" i="15"/>
  <c r="X208" i="15"/>
  <c r="W208" i="15"/>
  <c r="V208" i="15"/>
  <c r="U208" i="15"/>
  <c r="T208" i="15"/>
  <c r="S208" i="15"/>
  <c r="Q208" i="15"/>
  <c r="O208" i="15"/>
  <c r="M208" i="15"/>
  <c r="K208" i="15"/>
  <c r="X207" i="15"/>
  <c r="W207" i="15"/>
  <c r="V207" i="15"/>
  <c r="U207" i="15"/>
  <c r="T207" i="15"/>
  <c r="S207" i="15"/>
  <c r="Q207" i="15"/>
  <c r="O207" i="15"/>
  <c r="M207" i="15"/>
  <c r="K207" i="15"/>
  <c r="X206" i="15"/>
  <c r="W206" i="15"/>
  <c r="V206" i="15"/>
  <c r="U206" i="15"/>
  <c r="T206" i="15"/>
  <c r="S206" i="15"/>
  <c r="Q206" i="15"/>
  <c r="O206" i="15"/>
  <c r="M206" i="15"/>
  <c r="K206" i="15"/>
  <c r="X205" i="15"/>
  <c r="W205" i="15"/>
  <c r="V205" i="15"/>
  <c r="U205" i="15"/>
  <c r="T205" i="15"/>
  <c r="S205" i="15"/>
  <c r="Q205" i="15"/>
  <c r="O205" i="15"/>
  <c r="M205" i="15"/>
  <c r="K205" i="15"/>
  <c r="X204" i="15"/>
  <c r="W204" i="15"/>
  <c r="V204" i="15"/>
  <c r="U204" i="15"/>
  <c r="T204" i="15"/>
  <c r="S204" i="15"/>
  <c r="Q204" i="15"/>
  <c r="O204" i="15"/>
  <c r="M204" i="15"/>
  <c r="K204" i="15"/>
  <c r="X203" i="15"/>
  <c r="W203" i="15"/>
  <c r="V203" i="15"/>
  <c r="U203" i="15"/>
  <c r="T203" i="15"/>
  <c r="S203" i="15"/>
  <c r="Q203" i="15"/>
  <c r="O203" i="15"/>
  <c r="M203" i="15"/>
  <c r="K203" i="15"/>
  <c r="X202" i="15"/>
  <c r="W202" i="15"/>
  <c r="V202" i="15"/>
  <c r="U202" i="15"/>
  <c r="T202" i="15"/>
  <c r="S202" i="15"/>
  <c r="Q202" i="15"/>
  <c r="O202" i="15"/>
  <c r="M202" i="15"/>
  <c r="K202" i="15"/>
  <c r="X201" i="15"/>
  <c r="W201" i="15"/>
  <c r="V201" i="15"/>
  <c r="U201" i="15"/>
  <c r="T201" i="15"/>
  <c r="S201" i="15"/>
  <c r="Q201" i="15"/>
  <c r="O201" i="15"/>
  <c r="M201" i="15"/>
  <c r="K201" i="15"/>
  <c r="X200" i="15"/>
  <c r="W200" i="15"/>
  <c r="V200" i="15"/>
  <c r="U200" i="15"/>
  <c r="T200" i="15"/>
  <c r="S200" i="15"/>
  <c r="Q200" i="15"/>
  <c r="O200" i="15"/>
  <c r="M200" i="15"/>
  <c r="K200" i="15"/>
  <c r="X199" i="15"/>
  <c r="W199" i="15"/>
  <c r="V199" i="15"/>
  <c r="U199" i="15"/>
  <c r="T199" i="15"/>
  <c r="S199" i="15"/>
  <c r="Q199" i="15"/>
  <c r="O199" i="15"/>
  <c r="M199" i="15"/>
  <c r="K199" i="15"/>
  <c r="X198" i="15"/>
  <c r="W198" i="15"/>
  <c r="V198" i="15"/>
  <c r="U198" i="15"/>
  <c r="T198" i="15"/>
  <c r="S198" i="15"/>
  <c r="Q198" i="15"/>
  <c r="O198" i="15"/>
  <c r="M198" i="15"/>
  <c r="K198" i="15"/>
  <c r="X197" i="15"/>
  <c r="W197" i="15"/>
  <c r="V197" i="15"/>
  <c r="U197" i="15"/>
  <c r="T197" i="15"/>
  <c r="S197" i="15"/>
  <c r="Q197" i="15"/>
  <c r="O197" i="15"/>
  <c r="M197" i="15"/>
  <c r="K197" i="15"/>
  <c r="X196" i="15"/>
  <c r="W196" i="15"/>
  <c r="V196" i="15"/>
  <c r="U196" i="15"/>
  <c r="T196" i="15"/>
  <c r="S196" i="15"/>
  <c r="Q196" i="15"/>
  <c r="O196" i="15"/>
  <c r="M196" i="15"/>
  <c r="K196" i="15"/>
  <c r="X195" i="15"/>
  <c r="W195" i="15"/>
  <c r="V195" i="15"/>
  <c r="U195" i="15"/>
  <c r="T195" i="15"/>
  <c r="S195" i="15"/>
  <c r="Q195" i="15"/>
  <c r="O195" i="15"/>
  <c r="M195" i="15"/>
  <c r="K195" i="15"/>
  <c r="X194" i="15"/>
  <c r="W194" i="15"/>
  <c r="V194" i="15"/>
  <c r="U194" i="15"/>
  <c r="T194" i="15"/>
  <c r="S194" i="15"/>
  <c r="Q194" i="15"/>
  <c r="O194" i="15"/>
  <c r="M194" i="15"/>
  <c r="K194" i="15"/>
  <c r="X193" i="15"/>
  <c r="W193" i="15"/>
  <c r="V193" i="15"/>
  <c r="U193" i="15"/>
  <c r="T193" i="15"/>
  <c r="S193" i="15"/>
  <c r="Q193" i="15"/>
  <c r="O193" i="15"/>
  <c r="M193" i="15"/>
  <c r="K193" i="15"/>
  <c r="X192" i="15"/>
  <c r="W192" i="15"/>
  <c r="V192" i="15"/>
  <c r="U192" i="15"/>
  <c r="T192" i="15"/>
  <c r="S192" i="15"/>
  <c r="Q192" i="15"/>
  <c r="O192" i="15"/>
  <c r="M192" i="15"/>
  <c r="K192" i="15"/>
  <c r="X191" i="15"/>
  <c r="W191" i="15"/>
  <c r="V191" i="15"/>
  <c r="U191" i="15"/>
  <c r="T191" i="15"/>
  <c r="S191" i="15"/>
  <c r="Q191" i="15"/>
  <c r="O191" i="15"/>
  <c r="M191" i="15"/>
  <c r="K191" i="15"/>
  <c r="X190" i="15"/>
  <c r="W190" i="15"/>
  <c r="V190" i="15"/>
  <c r="U190" i="15"/>
  <c r="T190" i="15"/>
  <c r="S190" i="15"/>
  <c r="Q190" i="15"/>
  <c r="O190" i="15"/>
  <c r="M190" i="15"/>
  <c r="K190" i="15"/>
  <c r="X189" i="15"/>
  <c r="W189" i="15"/>
  <c r="V189" i="15"/>
  <c r="U189" i="15"/>
  <c r="T189" i="15"/>
  <c r="S189" i="15"/>
  <c r="Q189" i="15"/>
  <c r="O189" i="15"/>
  <c r="M189" i="15"/>
  <c r="K189" i="15"/>
  <c r="X188" i="15"/>
  <c r="W188" i="15"/>
  <c r="V188" i="15"/>
  <c r="U188" i="15"/>
  <c r="T188" i="15"/>
  <c r="S188" i="15"/>
  <c r="Q188" i="15"/>
  <c r="O188" i="15"/>
  <c r="M188" i="15"/>
  <c r="K188" i="15"/>
  <c r="X187" i="15"/>
  <c r="W187" i="15"/>
  <c r="V187" i="15"/>
  <c r="U187" i="15"/>
  <c r="T187" i="15"/>
  <c r="S187" i="15"/>
  <c r="Q187" i="15"/>
  <c r="O187" i="15"/>
  <c r="M187" i="15"/>
  <c r="K187" i="15"/>
  <c r="X186" i="15"/>
  <c r="W186" i="15"/>
  <c r="V186" i="15"/>
  <c r="U186" i="15"/>
  <c r="T186" i="15"/>
  <c r="S186" i="15"/>
  <c r="Q186" i="15"/>
  <c r="O186" i="15"/>
  <c r="M186" i="15"/>
  <c r="K186" i="15"/>
  <c r="X185" i="15"/>
  <c r="W185" i="15"/>
  <c r="V185" i="15"/>
  <c r="U185" i="15"/>
  <c r="T185" i="15"/>
  <c r="S185" i="15"/>
  <c r="Q185" i="15"/>
  <c r="O185" i="15"/>
  <c r="M185" i="15"/>
  <c r="K185" i="15"/>
  <c r="X184" i="15"/>
  <c r="W184" i="15"/>
  <c r="V184" i="15"/>
  <c r="U184" i="15"/>
  <c r="T184" i="15"/>
  <c r="S184" i="15"/>
  <c r="Q184" i="15"/>
  <c r="O184" i="15"/>
  <c r="M184" i="15"/>
  <c r="K184" i="15"/>
  <c r="X183" i="15"/>
  <c r="W183" i="15"/>
  <c r="V183" i="15"/>
  <c r="U183" i="15"/>
  <c r="T183" i="15"/>
  <c r="S183" i="15"/>
  <c r="Q183" i="15"/>
  <c r="O183" i="15"/>
  <c r="M183" i="15"/>
  <c r="K183" i="15"/>
  <c r="X182" i="15"/>
  <c r="W182" i="15"/>
  <c r="V182" i="15"/>
  <c r="U182" i="15"/>
  <c r="T182" i="15"/>
  <c r="S182" i="15"/>
  <c r="Q182" i="15"/>
  <c r="O182" i="15"/>
  <c r="M182" i="15"/>
  <c r="K182" i="15"/>
  <c r="X181" i="15"/>
  <c r="W181" i="15"/>
  <c r="V181" i="15"/>
  <c r="U181" i="15"/>
  <c r="T181" i="15"/>
  <c r="S181" i="15"/>
  <c r="Q181" i="15"/>
  <c r="O181" i="15"/>
  <c r="M181" i="15"/>
  <c r="K181" i="15"/>
  <c r="X180" i="15"/>
  <c r="W180" i="15"/>
  <c r="V180" i="15"/>
  <c r="U180" i="15"/>
  <c r="T180" i="15"/>
  <c r="S180" i="15"/>
  <c r="Q180" i="15"/>
  <c r="O180" i="15"/>
  <c r="M180" i="15"/>
  <c r="K180" i="15"/>
  <c r="X179" i="15"/>
  <c r="W179" i="15"/>
  <c r="V179" i="15"/>
  <c r="U179" i="15"/>
  <c r="T179" i="15"/>
  <c r="S179" i="15"/>
  <c r="Q179" i="15"/>
  <c r="O179" i="15"/>
  <c r="M179" i="15"/>
  <c r="K179" i="15"/>
  <c r="X178" i="15"/>
  <c r="W178" i="15"/>
  <c r="V178" i="15"/>
  <c r="U178" i="15"/>
  <c r="T178" i="15"/>
  <c r="S178" i="15"/>
  <c r="Q178" i="15"/>
  <c r="O178" i="15"/>
  <c r="M178" i="15"/>
  <c r="K178" i="15"/>
  <c r="X177" i="15"/>
  <c r="W177" i="15"/>
  <c r="V177" i="15"/>
  <c r="U177" i="15"/>
  <c r="T177" i="15"/>
  <c r="S177" i="15"/>
  <c r="Q177" i="15"/>
  <c r="O177" i="15"/>
  <c r="M177" i="15"/>
  <c r="K177" i="15"/>
  <c r="X176" i="15"/>
  <c r="W176" i="15"/>
  <c r="V176" i="15"/>
  <c r="U176" i="15"/>
  <c r="T176" i="15"/>
  <c r="S176" i="15"/>
  <c r="Q176" i="15"/>
  <c r="O176" i="15"/>
  <c r="M176" i="15"/>
  <c r="K176" i="15"/>
  <c r="X175" i="15"/>
  <c r="W175" i="15"/>
  <c r="V175" i="15"/>
  <c r="U175" i="15"/>
  <c r="T175" i="15"/>
  <c r="S175" i="15"/>
  <c r="Q175" i="15"/>
  <c r="O175" i="15"/>
  <c r="M175" i="15"/>
  <c r="K175" i="15"/>
  <c r="X174" i="15"/>
  <c r="W174" i="15"/>
  <c r="V174" i="15"/>
  <c r="U174" i="15"/>
  <c r="T174" i="15"/>
  <c r="S174" i="15"/>
  <c r="Q174" i="15"/>
  <c r="O174" i="15"/>
  <c r="M174" i="15"/>
  <c r="K174" i="15"/>
  <c r="X173" i="15"/>
  <c r="W173" i="15"/>
  <c r="V173" i="15"/>
  <c r="U173" i="15"/>
  <c r="T173" i="15"/>
  <c r="S173" i="15"/>
  <c r="Q173" i="15"/>
  <c r="O173" i="15"/>
  <c r="M173" i="15"/>
  <c r="K173" i="15"/>
  <c r="X172" i="15"/>
  <c r="W172" i="15"/>
  <c r="V172" i="15"/>
  <c r="U172" i="15"/>
  <c r="T172" i="15"/>
  <c r="S172" i="15"/>
  <c r="Q172" i="15"/>
  <c r="O172" i="15"/>
  <c r="M172" i="15"/>
  <c r="K172" i="15"/>
  <c r="X171" i="15"/>
  <c r="W171" i="15"/>
  <c r="V171" i="15"/>
  <c r="U171" i="15"/>
  <c r="T171" i="15"/>
  <c r="S171" i="15"/>
  <c r="Q171" i="15"/>
  <c r="O171" i="15"/>
  <c r="M171" i="15"/>
  <c r="K171" i="15"/>
  <c r="X170" i="15"/>
  <c r="W170" i="15"/>
  <c r="V170" i="15"/>
  <c r="U170" i="15"/>
  <c r="T170" i="15"/>
  <c r="S170" i="15"/>
  <c r="Q170" i="15"/>
  <c r="O170" i="15"/>
  <c r="M170" i="15"/>
  <c r="K170" i="15"/>
  <c r="X169" i="15"/>
  <c r="W169" i="15"/>
  <c r="V169" i="15"/>
  <c r="U169" i="15"/>
  <c r="T169" i="15"/>
  <c r="S169" i="15"/>
  <c r="Q169" i="15"/>
  <c r="O169" i="15"/>
  <c r="M169" i="15"/>
  <c r="K169" i="15"/>
  <c r="X168" i="15"/>
  <c r="W168" i="15"/>
  <c r="V168" i="15"/>
  <c r="U168" i="15"/>
  <c r="T168" i="15"/>
  <c r="S168" i="15"/>
  <c r="Q168" i="15"/>
  <c r="O168" i="15"/>
  <c r="M168" i="15"/>
  <c r="K168" i="15"/>
  <c r="X167" i="15"/>
  <c r="W167" i="15"/>
  <c r="V167" i="15"/>
  <c r="U167" i="15"/>
  <c r="T167" i="15"/>
  <c r="S167" i="15"/>
  <c r="Q167" i="15"/>
  <c r="O167" i="15"/>
  <c r="M167" i="15"/>
  <c r="K167" i="15"/>
  <c r="X166" i="15"/>
  <c r="W166" i="15"/>
  <c r="V166" i="15"/>
  <c r="U166" i="15"/>
  <c r="T166" i="15"/>
  <c r="S166" i="15"/>
  <c r="Q166" i="15"/>
  <c r="O166" i="15"/>
  <c r="M166" i="15"/>
  <c r="K166" i="15"/>
  <c r="X165" i="15"/>
  <c r="W165" i="15"/>
  <c r="V165" i="15"/>
  <c r="U165" i="15"/>
  <c r="T165" i="15"/>
  <c r="S165" i="15"/>
  <c r="Q165" i="15"/>
  <c r="O165" i="15"/>
  <c r="M165" i="15"/>
  <c r="K165" i="15"/>
  <c r="X164" i="15"/>
  <c r="W164" i="15"/>
  <c r="V164" i="15"/>
  <c r="U164" i="15"/>
  <c r="T164" i="15"/>
  <c r="S164" i="15"/>
  <c r="Q164" i="15"/>
  <c r="O164" i="15"/>
  <c r="M164" i="15"/>
  <c r="K164" i="15"/>
  <c r="X163" i="15"/>
  <c r="W163" i="15"/>
  <c r="V163" i="15"/>
  <c r="U163" i="15"/>
  <c r="T163" i="15"/>
  <c r="S163" i="15"/>
  <c r="Q163" i="15"/>
  <c r="O163" i="15"/>
  <c r="M163" i="15"/>
  <c r="K163" i="15"/>
  <c r="X162" i="15"/>
  <c r="W162" i="15"/>
  <c r="V162" i="15"/>
  <c r="U162" i="15"/>
  <c r="T162" i="15"/>
  <c r="S162" i="15"/>
  <c r="Q162" i="15"/>
  <c r="O162" i="15"/>
  <c r="M162" i="15"/>
  <c r="K162" i="15"/>
  <c r="X161" i="15"/>
  <c r="W161" i="15"/>
  <c r="V161" i="15"/>
  <c r="U161" i="15"/>
  <c r="T161" i="15"/>
  <c r="S161" i="15"/>
  <c r="Q161" i="15"/>
  <c r="O161" i="15"/>
  <c r="M161" i="15"/>
  <c r="K161" i="15"/>
  <c r="X160" i="15"/>
  <c r="W160" i="15"/>
  <c r="V160" i="15"/>
  <c r="U160" i="15"/>
  <c r="T160" i="15"/>
  <c r="S160" i="15"/>
  <c r="Q160" i="15"/>
  <c r="O160" i="15"/>
  <c r="M160" i="15"/>
  <c r="K160" i="15"/>
  <c r="X159" i="15"/>
  <c r="W159" i="15"/>
  <c r="V159" i="15"/>
  <c r="U159" i="15"/>
  <c r="T159" i="15"/>
  <c r="S159" i="15"/>
  <c r="Q159" i="15"/>
  <c r="O159" i="15"/>
  <c r="M159" i="15"/>
  <c r="K159" i="15"/>
  <c r="X158" i="15"/>
  <c r="W158" i="15"/>
  <c r="V158" i="15"/>
  <c r="U158" i="15"/>
  <c r="T158" i="15"/>
  <c r="S158" i="15"/>
  <c r="Q158" i="15"/>
  <c r="O158" i="15"/>
  <c r="M158" i="15"/>
  <c r="K158" i="15"/>
  <c r="X157" i="15"/>
  <c r="W157" i="15"/>
  <c r="V157" i="15"/>
  <c r="U157" i="15"/>
  <c r="T157" i="15"/>
  <c r="S157" i="15"/>
  <c r="Q157" i="15"/>
  <c r="O157" i="15"/>
  <c r="M157" i="15"/>
  <c r="K157" i="15"/>
  <c r="X156" i="15"/>
  <c r="W156" i="15"/>
  <c r="V156" i="15"/>
  <c r="U156" i="15"/>
  <c r="T156" i="15"/>
  <c r="S156" i="15"/>
  <c r="Q156" i="15"/>
  <c r="O156" i="15"/>
  <c r="M156" i="15"/>
  <c r="K156" i="15"/>
  <c r="X155" i="15"/>
  <c r="W155" i="15"/>
  <c r="V155" i="15"/>
  <c r="U155" i="15"/>
  <c r="T155" i="15"/>
  <c r="S155" i="15"/>
  <c r="Q155" i="15"/>
  <c r="O155" i="15"/>
  <c r="M155" i="15"/>
  <c r="K155" i="15"/>
  <c r="X154" i="15"/>
  <c r="W154" i="15"/>
  <c r="V154" i="15"/>
  <c r="U154" i="15"/>
  <c r="T154" i="15"/>
  <c r="S154" i="15"/>
  <c r="Q154" i="15"/>
  <c r="O154" i="15"/>
  <c r="M154" i="15"/>
  <c r="K154" i="15"/>
  <c r="X153" i="15"/>
  <c r="W153" i="15"/>
  <c r="V153" i="15"/>
  <c r="U153" i="15"/>
  <c r="T153" i="15"/>
  <c r="S153" i="15"/>
  <c r="Q153" i="15"/>
  <c r="O153" i="15"/>
  <c r="M153" i="15"/>
  <c r="K153" i="15"/>
  <c r="X152" i="15"/>
  <c r="W152" i="15"/>
  <c r="V152" i="15"/>
  <c r="U152" i="15"/>
  <c r="T152" i="15"/>
  <c r="S152" i="15"/>
  <c r="Q152" i="15"/>
  <c r="O152" i="15"/>
  <c r="M152" i="15"/>
  <c r="K152" i="15"/>
  <c r="X151" i="15"/>
  <c r="W151" i="15"/>
  <c r="V151" i="15"/>
  <c r="U151" i="15"/>
  <c r="T151" i="15"/>
  <c r="S151" i="15"/>
  <c r="Q151" i="15"/>
  <c r="O151" i="15"/>
  <c r="M151" i="15"/>
  <c r="K151" i="15"/>
  <c r="X150" i="15"/>
  <c r="W150" i="15"/>
  <c r="V150" i="15"/>
  <c r="U150" i="15"/>
  <c r="T150" i="15"/>
  <c r="S150" i="15"/>
  <c r="Q150" i="15"/>
  <c r="O150" i="15"/>
  <c r="M150" i="15"/>
  <c r="K150" i="15"/>
  <c r="X149" i="15"/>
  <c r="W149" i="15"/>
  <c r="V149" i="15"/>
  <c r="U149" i="15"/>
  <c r="T149" i="15"/>
  <c r="S149" i="15"/>
  <c r="Q149" i="15"/>
  <c r="O149" i="15"/>
  <c r="M149" i="15"/>
  <c r="K149" i="15"/>
  <c r="X148" i="15"/>
  <c r="W148" i="15"/>
  <c r="V148" i="15"/>
  <c r="U148" i="15"/>
  <c r="T148" i="15"/>
  <c r="S148" i="15"/>
  <c r="Q148" i="15"/>
  <c r="O148" i="15"/>
  <c r="M148" i="15"/>
  <c r="K148" i="15"/>
  <c r="X147" i="15"/>
  <c r="W147" i="15"/>
  <c r="V147" i="15"/>
  <c r="U147" i="15"/>
  <c r="T147" i="15"/>
  <c r="S147" i="15"/>
  <c r="Q147" i="15"/>
  <c r="O147" i="15"/>
  <c r="M147" i="15"/>
  <c r="K147" i="15"/>
  <c r="X146" i="15"/>
  <c r="W146" i="15"/>
  <c r="V146" i="15"/>
  <c r="U146" i="15"/>
  <c r="T146" i="15"/>
  <c r="S146" i="15"/>
  <c r="Q146" i="15"/>
  <c r="O146" i="15"/>
  <c r="M146" i="15"/>
  <c r="K146" i="15"/>
  <c r="X145" i="15"/>
  <c r="W145" i="15"/>
  <c r="V145" i="15"/>
  <c r="U145" i="15"/>
  <c r="T145" i="15"/>
  <c r="S145" i="15"/>
  <c r="Q145" i="15"/>
  <c r="O145" i="15"/>
  <c r="M145" i="15"/>
  <c r="K145" i="15"/>
  <c r="X144" i="15"/>
  <c r="W144" i="15"/>
  <c r="V144" i="15"/>
  <c r="U144" i="15"/>
  <c r="T144" i="15"/>
  <c r="S144" i="15"/>
  <c r="Q144" i="15"/>
  <c r="O144" i="15"/>
  <c r="M144" i="15"/>
  <c r="K144" i="15"/>
  <c r="X143" i="15"/>
  <c r="W143" i="15"/>
  <c r="V143" i="15"/>
  <c r="U143" i="15"/>
  <c r="T143" i="15"/>
  <c r="S143" i="15"/>
  <c r="Q143" i="15"/>
  <c r="O143" i="15"/>
  <c r="M143" i="15"/>
  <c r="K143" i="15"/>
  <c r="X142" i="15"/>
  <c r="W142" i="15"/>
  <c r="V142" i="15"/>
  <c r="U142" i="15"/>
  <c r="T142" i="15"/>
  <c r="S142" i="15"/>
  <c r="Q142" i="15"/>
  <c r="O142" i="15"/>
  <c r="M142" i="15"/>
  <c r="K142" i="15"/>
  <c r="X141" i="15"/>
  <c r="W141" i="15"/>
  <c r="V141" i="15"/>
  <c r="U141" i="15"/>
  <c r="T141" i="15"/>
  <c r="S141" i="15"/>
  <c r="Q141" i="15"/>
  <c r="O141" i="15"/>
  <c r="M141" i="15"/>
  <c r="K141" i="15"/>
  <c r="X140" i="15"/>
  <c r="W140" i="15"/>
  <c r="V140" i="15"/>
  <c r="U140" i="15"/>
  <c r="T140" i="15"/>
  <c r="S140" i="15"/>
  <c r="Q140" i="15"/>
  <c r="O140" i="15"/>
  <c r="M140" i="15"/>
  <c r="K140" i="15"/>
  <c r="X139" i="15"/>
  <c r="W139" i="15"/>
  <c r="V139" i="15"/>
  <c r="U139" i="15"/>
  <c r="T139" i="15"/>
  <c r="S139" i="15"/>
  <c r="Q139" i="15"/>
  <c r="O139" i="15"/>
  <c r="M139" i="15"/>
  <c r="K139" i="15"/>
  <c r="X138" i="15"/>
  <c r="W138" i="15"/>
  <c r="V138" i="15"/>
  <c r="U138" i="15"/>
  <c r="T138" i="15"/>
  <c r="S138" i="15"/>
  <c r="Q138" i="15"/>
  <c r="O138" i="15"/>
  <c r="M138" i="15"/>
  <c r="K138" i="15"/>
  <c r="X137" i="15"/>
  <c r="W137" i="15"/>
  <c r="V137" i="15"/>
  <c r="U137" i="15"/>
  <c r="T137" i="15"/>
  <c r="S137" i="15"/>
  <c r="Q137" i="15"/>
  <c r="O137" i="15"/>
  <c r="M137" i="15"/>
  <c r="K137" i="15"/>
  <c r="X136" i="15"/>
  <c r="W136" i="15"/>
  <c r="V136" i="15"/>
  <c r="U136" i="15"/>
  <c r="T136" i="15"/>
  <c r="S136" i="15"/>
  <c r="Q136" i="15"/>
  <c r="O136" i="15"/>
  <c r="M136" i="15"/>
  <c r="K136" i="15"/>
  <c r="X135" i="15"/>
  <c r="W135" i="15"/>
  <c r="V135" i="15"/>
  <c r="U135" i="15"/>
  <c r="T135" i="15"/>
  <c r="S135" i="15"/>
  <c r="Q135" i="15"/>
  <c r="O135" i="15"/>
  <c r="M135" i="15"/>
  <c r="K135" i="15"/>
  <c r="X134" i="15"/>
  <c r="W134" i="15"/>
  <c r="V134" i="15"/>
  <c r="U134" i="15"/>
  <c r="T134" i="15"/>
  <c r="S134" i="15"/>
  <c r="Q134" i="15"/>
  <c r="O134" i="15"/>
  <c r="M134" i="15"/>
  <c r="K134" i="15"/>
  <c r="X133" i="15"/>
  <c r="W133" i="15"/>
  <c r="V133" i="15"/>
  <c r="U133" i="15"/>
  <c r="T133" i="15"/>
  <c r="S133" i="15"/>
  <c r="Q133" i="15"/>
  <c r="O133" i="15"/>
  <c r="M133" i="15"/>
  <c r="K133" i="15"/>
  <c r="X132" i="15"/>
  <c r="W132" i="15"/>
  <c r="V132" i="15"/>
  <c r="U132" i="15"/>
  <c r="T132" i="15"/>
  <c r="S132" i="15"/>
  <c r="Q132" i="15"/>
  <c r="O132" i="15"/>
  <c r="M132" i="15"/>
  <c r="K132" i="15"/>
  <c r="X131" i="15"/>
  <c r="W131" i="15"/>
  <c r="V131" i="15"/>
  <c r="U131" i="15"/>
  <c r="T131" i="15"/>
  <c r="S131" i="15"/>
  <c r="Q131" i="15"/>
  <c r="O131" i="15"/>
  <c r="M131" i="15"/>
  <c r="K131" i="15"/>
  <c r="X130" i="15"/>
  <c r="W130" i="15"/>
  <c r="V130" i="15"/>
  <c r="U130" i="15"/>
  <c r="T130" i="15"/>
  <c r="S130" i="15"/>
  <c r="Q130" i="15"/>
  <c r="O130" i="15"/>
  <c r="M130" i="15"/>
  <c r="K130" i="15"/>
  <c r="X129" i="15"/>
  <c r="W129" i="15"/>
  <c r="V129" i="15"/>
  <c r="U129" i="15"/>
  <c r="T129" i="15"/>
  <c r="S129" i="15"/>
  <c r="Q129" i="15"/>
  <c r="O129" i="15"/>
  <c r="M129" i="15"/>
  <c r="K129" i="15"/>
  <c r="X128" i="15"/>
  <c r="W128" i="15"/>
  <c r="V128" i="15"/>
  <c r="U128" i="15"/>
  <c r="T128" i="15"/>
  <c r="S128" i="15"/>
  <c r="Q128" i="15"/>
  <c r="O128" i="15"/>
  <c r="M128" i="15"/>
  <c r="K128" i="15"/>
  <c r="X127" i="15"/>
  <c r="W127" i="15"/>
  <c r="V127" i="15"/>
  <c r="U127" i="15"/>
  <c r="T127" i="15"/>
  <c r="S127" i="15"/>
  <c r="Q127" i="15"/>
  <c r="O127" i="15"/>
  <c r="M127" i="15"/>
  <c r="K127" i="15"/>
  <c r="X126" i="15"/>
  <c r="W126" i="15"/>
  <c r="V126" i="15"/>
  <c r="U126" i="15"/>
  <c r="T126" i="15"/>
  <c r="S126" i="15"/>
  <c r="Q126" i="15"/>
  <c r="O126" i="15"/>
  <c r="M126" i="15"/>
  <c r="K126" i="15"/>
  <c r="X125" i="15"/>
  <c r="W125" i="15"/>
  <c r="V125" i="15"/>
  <c r="U125" i="15"/>
  <c r="T125" i="15"/>
  <c r="S125" i="15"/>
  <c r="Q125" i="15"/>
  <c r="O125" i="15"/>
  <c r="M125" i="15"/>
  <c r="K125" i="15"/>
  <c r="X124" i="15"/>
  <c r="W124" i="15"/>
  <c r="V124" i="15"/>
  <c r="U124" i="15"/>
  <c r="T124" i="15"/>
  <c r="S124" i="15"/>
  <c r="Q124" i="15"/>
  <c r="O124" i="15"/>
  <c r="M124" i="15"/>
  <c r="K124" i="15"/>
  <c r="X123" i="15"/>
  <c r="W123" i="15"/>
  <c r="V123" i="15"/>
  <c r="U123" i="15"/>
  <c r="T123" i="15"/>
  <c r="S123" i="15"/>
  <c r="Q123" i="15"/>
  <c r="O123" i="15"/>
  <c r="M123" i="15"/>
  <c r="K123" i="15"/>
  <c r="X122" i="15"/>
  <c r="W122" i="15"/>
  <c r="V122" i="15"/>
  <c r="U122" i="15"/>
  <c r="T122" i="15"/>
  <c r="S122" i="15"/>
  <c r="Q122" i="15"/>
  <c r="O122" i="15"/>
  <c r="M122" i="15"/>
  <c r="K122" i="15"/>
  <c r="X121" i="15"/>
  <c r="W121" i="15"/>
  <c r="V121" i="15"/>
  <c r="U121" i="15"/>
  <c r="T121" i="15"/>
  <c r="S121" i="15"/>
  <c r="Q121" i="15"/>
  <c r="O121" i="15"/>
  <c r="M121" i="15"/>
  <c r="K121" i="15"/>
  <c r="X120" i="15"/>
  <c r="W120" i="15"/>
  <c r="V120" i="15"/>
  <c r="U120" i="15"/>
  <c r="T120" i="15"/>
  <c r="S120" i="15"/>
  <c r="Q120" i="15"/>
  <c r="O120" i="15"/>
  <c r="M120" i="15"/>
  <c r="K120" i="15"/>
  <c r="X119" i="15"/>
  <c r="W119" i="15"/>
  <c r="V119" i="15"/>
  <c r="U119" i="15"/>
  <c r="T119" i="15"/>
  <c r="S119" i="15"/>
  <c r="Q119" i="15"/>
  <c r="O119" i="15"/>
  <c r="M119" i="15"/>
  <c r="K119" i="15"/>
  <c r="X118" i="15"/>
  <c r="W118" i="15"/>
  <c r="V118" i="15"/>
  <c r="U118" i="15"/>
  <c r="T118" i="15"/>
  <c r="S118" i="15"/>
  <c r="Q118" i="15"/>
  <c r="O118" i="15"/>
  <c r="M118" i="15"/>
  <c r="K118" i="15"/>
  <c r="X117" i="15"/>
  <c r="W117" i="15"/>
  <c r="V117" i="15"/>
  <c r="U117" i="15"/>
  <c r="T117" i="15"/>
  <c r="S117" i="15"/>
  <c r="Q117" i="15"/>
  <c r="O117" i="15"/>
  <c r="M117" i="15"/>
  <c r="K117" i="15"/>
  <c r="X116" i="15"/>
  <c r="W116" i="15"/>
  <c r="V116" i="15"/>
  <c r="U116" i="15"/>
  <c r="T116" i="15"/>
  <c r="S116" i="15"/>
  <c r="Q116" i="15"/>
  <c r="O116" i="15"/>
  <c r="M116" i="15"/>
  <c r="K116" i="15"/>
  <c r="X115" i="15"/>
  <c r="W115" i="15"/>
  <c r="V115" i="15"/>
  <c r="U115" i="15"/>
  <c r="T115" i="15"/>
  <c r="S115" i="15"/>
  <c r="Q115" i="15"/>
  <c r="O115" i="15"/>
  <c r="M115" i="15"/>
  <c r="K115" i="15"/>
  <c r="X114" i="15"/>
  <c r="W114" i="15"/>
  <c r="V114" i="15"/>
  <c r="U114" i="15"/>
  <c r="T114" i="15"/>
  <c r="S114" i="15"/>
  <c r="Q114" i="15"/>
  <c r="O114" i="15"/>
  <c r="M114" i="15"/>
  <c r="K114" i="15"/>
  <c r="X113" i="15"/>
  <c r="W113" i="15"/>
  <c r="V113" i="15"/>
  <c r="U113" i="15"/>
  <c r="T113" i="15"/>
  <c r="S113" i="15"/>
  <c r="Q113" i="15"/>
  <c r="O113" i="15"/>
  <c r="M113" i="15"/>
  <c r="K113" i="15"/>
  <c r="X112" i="15"/>
  <c r="W112" i="15"/>
  <c r="V112" i="15"/>
  <c r="U112" i="15"/>
  <c r="T112" i="15"/>
  <c r="S112" i="15"/>
  <c r="Q112" i="15"/>
  <c r="O112" i="15"/>
  <c r="M112" i="15"/>
  <c r="K112" i="15"/>
  <c r="X111" i="15"/>
  <c r="W111" i="15"/>
  <c r="V111" i="15"/>
  <c r="U111" i="15"/>
  <c r="T111" i="15"/>
  <c r="S111" i="15"/>
  <c r="Q111" i="15"/>
  <c r="O111" i="15"/>
  <c r="M111" i="15"/>
  <c r="K111" i="15"/>
  <c r="X110" i="15"/>
  <c r="W110" i="15"/>
  <c r="V110" i="15"/>
  <c r="U110" i="15"/>
  <c r="T110" i="15"/>
  <c r="S110" i="15"/>
  <c r="Q110" i="15"/>
  <c r="O110" i="15"/>
  <c r="M110" i="15"/>
  <c r="K110" i="15"/>
  <c r="X109" i="15"/>
  <c r="W109" i="15"/>
  <c r="V109" i="15"/>
  <c r="U109" i="15"/>
  <c r="T109" i="15"/>
  <c r="S109" i="15"/>
  <c r="Q109" i="15"/>
  <c r="O109" i="15"/>
  <c r="M109" i="15"/>
  <c r="K109" i="15"/>
  <c r="X108" i="15"/>
  <c r="W108" i="15"/>
  <c r="V108" i="15"/>
  <c r="U108" i="15"/>
  <c r="T108" i="15"/>
  <c r="S108" i="15"/>
  <c r="Q108" i="15"/>
  <c r="O108" i="15"/>
  <c r="M108" i="15"/>
  <c r="K108" i="15"/>
  <c r="X107" i="15"/>
  <c r="W107" i="15"/>
  <c r="V107" i="15"/>
  <c r="U107" i="15"/>
  <c r="T107" i="15"/>
  <c r="S107" i="15"/>
  <c r="Q107" i="15"/>
  <c r="O107" i="15"/>
  <c r="M107" i="15"/>
  <c r="K107" i="15"/>
  <c r="X106" i="15"/>
  <c r="W106" i="15"/>
  <c r="V106" i="15"/>
  <c r="U106" i="15"/>
  <c r="T106" i="15"/>
  <c r="S106" i="15"/>
  <c r="Q106" i="15"/>
  <c r="O106" i="15"/>
  <c r="M106" i="15"/>
  <c r="K106" i="15"/>
  <c r="X105" i="15"/>
  <c r="W105" i="15"/>
  <c r="V105" i="15"/>
  <c r="U105" i="15"/>
  <c r="T105" i="15"/>
  <c r="S105" i="15"/>
  <c r="Q105" i="15"/>
  <c r="O105" i="15"/>
  <c r="M105" i="15"/>
  <c r="K105" i="15"/>
  <c r="X104" i="15"/>
  <c r="W104" i="15"/>
  <c r="V104" i="15"/>
  <c r="U104" i="15"/>
  <c r="T104" i="15"/>
  <c r="S104" i="15"/>
  <c r="Q104" i="15"/>
  <c r="O104" i="15"/>
  <c r="M104" i="15"/>
  <c r="K104" i="15"/>
  <c r="X103" i="15"/>
  <c r="W103" i="15"/>
  <c r="V103" i="15"/>
  <c r="U103" i="15"/>
  <c r="T103" i="15"/>
  <c r="S103" i="15"/>
  <c r="Q103" i="15"/>
  <c r="O103" i="15"/>
  <c r="M103" i="15"/>
  <c r="K103" i="15"/>
  <c r="X102" i="15"/>
  <c r="W102" i="15"/>
  <c r="V102" i="15"/>
  <c r="U102" i="15"/>
  <c r="T102" i="15"/>
  <c r="S102" i="15"/>
  <c r="Q102" i="15"/>
  <c r="O102" i="15"/>
  <c r="M102" i="15"/>
  <c r="K102" i="15"/>
  <c r="X101" i="15"/>
  <c r="W101" i="15"/>
  <c r="V101" i="15"/>
  <c r="U101" i="15"/>
  <c r="T101" i="15"/>
  <c r="S101" i="15"/>
  <c r="Q101" i="15"/>
  <c r="O101" i="15"/>
  <c r="M101" i="15"/>
  <c r="K101" i="15"/>
  <c r="X100" i="15"/>
  <c r="W100" i="15"/>
  <c r="V100" i="15"/>
  <c r="U100" i="15"/>
  <c r="T100" i="15"/>
  <c r="S100" i="15"/>
  <c r="Q100" i="15"/>
  <c r="O100" i="15"/>
  <c r="M100" i="15"/>
  <c r="K100" i="15"/>
  <c r="X99" i="15"/>
  <c r="W99" i="15"/>
  <c r="V99" i="15"/>
  <c r="U99" i="15"/>
  <c r="T99" i="15"/>
  <c r="S99" i="15"/>
  <c r="Q99" i="15"/>
  <c r="O99" i="15"/>
  <c r="M99" i="15"/>
  <c r="K99" i="15"/>
  <c r="X98" i="15"/>
  <c r="W98" i="15"/>
  <c r="V98" i="15"/>
  <c r="U98" i="15"/>
  <c r="T98" i="15"/>
  <c r="S98" i="15"/>
  <c r="Q98" i="15"/>
  <c r="O98" i="15"/>
  <c r="M98" i="15"/>
  <c r="K98" i="15"/>
  <c r="X97" i="15"/>
  <c r="W97" i="15"/>
  <c r="V97" i="15"/>
  <c r="U97" i="15"/>
  <c r="T97" i="15"/>
  <c r="S97" i="15"/>
  <c r="Q97" i="15"/>
  <c r="O97" i="15"/>
  <c r="M97" i="15"/>
  <c r="K97" i="15"/>
  <c r="X96" i="15"/>
  <c r="W96" i="15"/>
  <c r="V96" i="15"/>
  <c r="U96" i="15"/>
  <c r="T96" i="15"/>
  <c r="S96" i="15"/>
  <c r="Q96" i="15"/>
  <c r="O96" i="15"/>
  <c r="M96" i="15"/>
  <c r="K96" i="15"/>
  <c r="X95" i="15"/>
  <c r="W95" i="15"/>
  <c r="V95" i="15"/>
  <c r="U95" i="15"/>
  <c r="T95" i="15"/>
  <c r="S95" i="15"/>
  <c r="Q95" i="15"/>
  <c r="O95" i="15"/>
  <c r="M95" i="15"/>
  <c r="K95" i="15"/>
  <c r="X94" i="15"/>
  <c r="W94" i="15"/>
  <c r="V94" i="15"/>
  <c r="U94" i="15"/>
  <c r="T94" i="15"/>
  <c r="S94" i="15"/>
  <c r="Q94" i="15"/>
  <c r="O94" i="15"/>
  <c r="M94" i="15"/>
  <c r="K94" i="15"/>
  <c r="X93" i="15"/>
  <c r="W93" i="15"/>
  <c r="V93" i="15"/>
  <c r="U93" i="15"/>
  <c r="T93" i="15"/>
  <c r="S93" i="15"/>
  <c r="Q93" i="15"/>
  <c r="O93" i="15"/>
  <c r="M93" i="15"/>
  <c r="K93" i="15"/>
  <c r="X92" i="15"/>
  <c r="W92" i="15"/>
  <c r="V92" i="15"/>
  <c r="U92" i="15"/>
  <c r="T92" i="15"/>
  <c r="S92" i="15"/>
  <c r="Q92" i="15"/>
  <c r="O92" i="15"/>
  <c r="M92" i="15"/>
  <c r="K92" i="15"/>
  <c r="X91" i="15"/>
  <c r="W91" i="15"/>
  <c r="V91" i="15"/>
  <c r="U91" i="15"/>
  <c r="T91" i="15"/>
  <c r="S91" i="15"/>
  <c r="Q91" i="15"/>
  <c r="O91" i="15"/>
  <c r="M91" i="15"/>
  <c r="K91" i="15"/>
  <c r="X90" i="15"/>
  <c r="W90" i="15"/>
  <c r="V90" i="15"/>
  <c r="U90" i="15"/>
  <c r="T90" i="15"/>
  <c r="S90" i="15"/>
  <c r="Q90" i="15"/>
  <c r="O90" i="15"/>
  <c r="M90" i="15"/>
  <c r="K90" i="15"/>
  <c r="X89" i="15"/>
  <c r="W89" i="15"/>
  <c r="V89" i="15"/>
  <c r="U89" i="15"/>
  <c r="T89" i="15"/>
  <c r="S89" i="15"/>
  <c r="Q89" i="15"/>
  <c r="O89" i="15"/>
  <c r="M89" i="15"/>
  <c r="K89" i="15"/>
  <c r="X88" i="15"/>
  <c r="W88" i="15"/>
  <c r="V88" i="15"/>
  <c r="U88" i="15"/>
  <c r="T88" i="15"/>
  <c r="S88" i="15"/>
  <c r="Q88" i="15"/>
  <c r="O88" i="15"/>
  <c r="M88" i="15"/>
  <c r="K88" i="15"/>
  <c r="X87" i="15"/>
  <c r="W87" i="15"/>
  <c r="V87" i="15"/>
  <c r="U87" i="15"/>
  <c r="T87" i="15"/>
  <c r="S87" i="15"/>
  <c r="Q87" i="15"/>
  <c r="O87" i="15"/>
  <c r="M87" i="15"/>
  <c r="K87" i="15"/>
  <c r="X86" i="15"/>
  <c r="W86" i="15"/>
  <c r="V86" i="15"/>
  <c r="U86" i="15"/>
  <c r="T86" i="15"/>
  <c r="S86" i="15"/>
  <c r="Q86" i="15"/>
  <c r="O86" i="15"/>
  <c r="M86" i="15"/>
  <c r="K86" i="15"/>
  <c r="X85" i="15"/>
  <c r="W85" i="15"/>
  <c r="V85" i="15"/>
  <c r="U85" i="15"/>
  <c r="T85" i="15"/>
  <c r="S85" i="15"/>
  <c r="Q85" i="15"/>
  <c r="O85" i="15"/>
  <c r="M85" i="15"/>
  <c r="K85" i="15"/>
  <c r="X84" i="15"/>
  <c r="W84" i="15"/>
  <c r="V84" i="15"/>
  <c r="U84" i="15"/>
  <c r="T84" i="15"/>
  <c r="S84" i="15"/>
  <c r="Q84" i="15"/>
  <c r="O84" i="15"/>
  <c r="M84" i="15"/>
  <c r="K84" i="15"/>
  <c r="X83" i="15"/>
  <c r="W83" i="15"/>
  <c r="V83" i="15"/>
  <c r="U83" i="15"/>
  <c r="T83" i="15"/>
  <c r="S83" i="15"/>
  <c r="Q83" i="15"/>
  <c r="O83" i="15"/>
  <c r="M83" i="15"/>
  <c r="K83" i="15"/>
  <c r="X82" i="15"/>
  <c r="W82" i="15"/>
  <c r="V82" i="15"/>
  <c r="U82" i="15"/>
  <c r="T82" i="15"/>
  <c r="S82" i="15"/>
  <c r="Q82" i="15"/>
  <c r="O82" i="15"/>
  <c r="M82" i="15"/>
  <c r="K82" i="15"/>
  <c r="X81" i="15"/>
  <c r="W81" i="15"/>
  <c r="V81" i="15"/>
  <c r="U81" i="15"/>
  <c r="T81" i="15"/>
  <c r="S81" i="15"/>
  <c r="Q81" i="15"/>
  <c r="O81" i="15"/>
  <c r="M81" i="15"/>
  <c r="K81" i="15"/>
  <c r="X80" i="15"/>
  <c r="W80" i="15"/>
  <c r="V80" i="15"/>
  <c r="U80" i="15"/>
  <c r="T80" i="15"/>
  <c r="S80" i="15"/>
  <c r="Q80" i="15"/>
  <c r="O80" i="15"/>
  <c r="M80" i="15"/>
  <c r="K80" i="15"/>
  <c r="X79" i="15"/>
  <c r="W79" i="15"/>
  <c r="V79" i="15"/>
  <c r="U79" i="15"/>
  <c r="T79" i="15"/>
  <c r="S79" i="15"/>
  <c r="Q79" i="15"/>
  <c r="O79" i="15"/>
  <c r="M79" i="15"/>
  <c r="K79" i="15"/>
  <c r="X78" i="15"/>
  <c r="W78" i="15"/>
  <c r="V78" i="15"/>
  <c r="U78" i="15"/>
  <c r="T78" i="15"/>
  <c r="S78" i="15"/>
  <c r="Q78" i="15"/>
  <c r="O78" i="15"/>
  <c r="M78" i="15"/>
  <c r="K78" i="15"/>
  <c r="X77" i="15"/>
  <c r="W77" i="15"/>
  <c r="V77" i="15"/>
  <c r="U77" i="15"/>
  <c r="T77" i="15"/>
  <c r="S77" i="15"/>
  <c r="Q77" i="15"/>
  <c r="O77" i="15"/>
  <c r="M77" i="15"/>
  <c r="K77" i="15"/>
  <c r="X76" i="15"/>
  <c r="W76" i="15"/>
  <c r="V76" i="15"/>
  <c r="U76" i="15"/>
  <c r="T76" i="15"/>
  <c r="S76" i="15"/>
  <c r="Q76" i="15"/>
  <c r="O76" i="15"/>
  <c r="M76" i="15"/>
  <c r="K76" i="15"/>
  <c r="X75" i="15"/>
  <c r="W75" i="15"/>
  <c r="V75" i="15"/>
  <c r="U75" i="15"/>
  <c r="T75" i="15"/>
  <c r="S75" i="15"/>
  <c r="Q75" i="15"/>
  <c r="O75" i="15"/>
  <c r="M75" i="15"/>
  <c r="K75" i="15"/>
  <c r="X74" i="15"/>
  <c r="W74" i="15"/>
  <c r="V74" i="15"/>
  <c r="U74" i="15"/>
  <c r="T74" i="15"/>
  <c r="S74" i="15"/>
  <c r="Q74" i="15"/>
  <c r="O74" i="15"/>
  <c r="M74" i="15"/>
  <c r="K74" i="15"/>
  <c r="X73" i="15"/>
  <c r="W73" i="15"/>
  <c r="V73" i="15"/>
  <c r="U73" i="15"/>
  <c r="T73" i="15"/>
  <c r="S73" i="15"/>
  <c r="Q73" i="15"/>
  <c r="O73" i="15"/>
  <c r="M73" i="15"/>
  <c r="K73" i="15"/>
  <c r="X72" i="15"/>
  <c r="W72" i="15"/>
  <c r="V72" i="15"/>
  <c r="U72" i="15"/>
  <c r="T72" i="15"/>
  <c r="S72" i="15"/>
  <c r="Q72" i="15"/>
  <c r="O72" i="15"/>
  <c r="M72" i="15"/>
  <c r="K72" i="15"/>
  <c r="X71" i="15"/>
  <c r="W71" i="15"/>
  <c r="V71" i="15"/>
  <c r="U71" i="15"/>
  <c r="T71" i="15"/>
  <c r="S71" i="15"/>
  <c r="Q71" i="15"/>
  <c r="O71" i="15"/>
  <c r="M71" i="15"/>
  <c r="K71" i="15"/>
  <c r="X70" i="15"/>
  <c r="W70" i="15"/>
  <c r="V70" i="15"/>
  <c r="U70" i="15"/>
  <c r="T70" i="15"/>
  <c r="S70" i="15"/>
  <c r="Q70" i="15"/>
  <c r="O70" i="15"/>
  <c r="M70" i="15"/>
  <c r="K70" i="15"/>
  <c r="X69" i="15"/>
  <c r="W69" i="15"/>
  <c r="V69" i="15"/>
  <c r="U69" i="15"/>
  <c r="T69" i="15"/>
  <c r="S69" i="15"/>
  <c r="Q69" i="15"/>
  <c r="O69" i="15"/>
  <c r="M69" i="15"/>
  <c r="K69" i="15"/>
  <c r="X68" i="15"/>
  <c r="W68" i="15"/>
  <c r="V68" i="15"/>
  <c r="U68" i="15"/>
  <c r="T68" i="15"/>
  <c r="S68" i="15"/>
  <c r="Q68" i="15"/>
  <c r="O68" i="15"/>
  <c r="M68" i="15"/>
  <c r="K68" i="15"/>
  <c r="X67" i="15"/>
  <c r="W67" i="15"/>
  <c r="V67" i="15"/>
  <c r="U67" i="15"/>
  <c r="T67" i="15"/>
  <c r="S67" i="15"/>
  <c r="Q67" i="15"/>
  <c r="O67" i="15"/>
  <c r="M67" i="15"/>
  <c r="K67" i="15"/>
  <c r="X66" i="15"/>
  <c r="W66" i="15"/>
  <c r="V66" i="15"/>
  <c r="U66" i="15"/>
  <c r="T66" i="15"/>
  <c r="S66" i="15"/>
  <c r="Q66" i="15"/>
  <c r="O66" i="15"/>
  <c r="M66" i="15"/>
  <c r="K66" i="15"/>
  <c r="X65" i="15"/>
  <c r="W65" i="15"/>
  <c r="V65" i="15"/>
  <c r="U65" i="15"/>
  <c r="T65" i="15"/>
  <c r="S65" i="15"/>
  <c r="Q65" i="15"/>
  <c r="O65" i="15"/>
  <c r="M65" i="15"/>
  <c r="K65" i="15"/>
  <c r="X64" i="15"/>
  <c r="W64" i="15"/>
  <c r="V64" i="15"/>
  <c r="U64" i="15"/>
  <c r="T64" i="15"/>
  <c r="S64" i="15"/>
  <c r="Q64" i="15"/>
  <c r="O64" i="15"/>
  <c r="M64" i="15"/>
  <c r="K64" i="15"/>
  <c r="X63" i="15"/>
  <c r="W63" i="15"/>
  <c r="V63" i="15"/>
  <c r="U63" i="15"/>
  <c r="T63" i="15"/>
  <c r="S63" i="15"/>
  <c r="Q63" i="15"/>
  <c r="O63" i="15"/>
  <c r="M63" i="15"/>
  <c r="K63" i="15"/>
  <c r="X62" i="15"/>
  <c r="W62" i="15"/>
  <c r="V62" i="15"/>
  <c r="U62" i="15"/>
  <c r="T62" i="15"/>
  <c r="S62" i="15"/>
  <c r="Q62" i="15"/>
  <c r="O62" i="15"/>
  <c r="M62" i="15"/>
  <c r="K62" i="15"/>
  <c r="X61" i="15"/>
  <c r="W61" i="15"/>
  <c r="V61" i="15"/>
  <c r="U61" i="15"/>
  <c r="T61" i="15"/>
  <c r="S61" i="15"/>
  <c r="Q61" i="15"/>
  <c r="O61" i="15"/>
  <c r="M61" i="15"/>
  <c r="K61" i="15"/>
  <c r="X60" i="15"/>
  <c r="W60" i="15"/>
  <c r="V60" i="15"/>
  <c r="U60" i="15"/>
  <c r="T60" i="15"/>
  <c r="S60" i="15"/>
  <c r="Q60" i="15"/>
  <c r="O60" i="15"/>
  <c r="M60" i="15"/>
  <c r="K60" i="15"/>
  <c r="X59" i="15"/>
  <c r="W59" i="15"/>
  <c r="V59" i="15"/>
  <c r="U59" i="15"/>
  <c r="T59" i="15"/>
  <c r="S59" i="15"/>
  <c r="Q59" i="15"/>
  <c r="O59" i="15"/>
  <c r="M59" i="15"/>
  <c r="K59" i="15"/>
  <c r="X58" i="15"/>
  <c r="W58" i="15"/>
  <c r="V58" i="15"/>
  <c r="U58" i="15"/>
  <c r="T58" i="15"/>
  <c r="S58" i="15"/>
  <c r="Q58" i="15"/>
  <c r="O58" i="15"/>
  <c r="M58" i="15"/>
  <c r="K58" i="15"/>
  <c r="X57" i="15"/>
  <c r="W57" i="15"/>
  <c r="V57" i="15"/>
  <c r="U57" i="15"/>
  <c r="T57" i="15"/>
  <c r="S57" i="15"/>
  <c r="Q57" i="15"/>
  <c r="O57" i="15"/>
  <c r="M57" i="15"/>
  <c r="K57" i="15"/>
  <c r="X56" i="15"/>
  <c r="W56" i="15"/>
  <c r="V56" i="15"/>
  <c r="U56" i="15"/>
  <c r="T56" i="15"/>
  <c r="S56" i="15"/>
  <c r="Q56" i="15"/>
  <c r="O56" i="15"/>
  <c r="M56" i="15"/>
  <c r="K56" i="15"/>
  <c r="X55" i="15"/>
  <c r="W55" i="15"/>
  <c r="V55" i="15"/>
  <c r="U55" i="15"/>
  <c r="T55" i="15"/>
  <c r="S55" i="15"/>
  <c r="Q55" i="15"/>
  <c r="O55" i="15"/>
  <c r="M55" i="15"/>
  <c r="K55" i="15"/>
  <c r="X54" i="15"/>
  <c r="W54" i="15"/>
  <c r="V54" i="15"/>
  <c r="U54" i="15"/>
  <c r="T54" i="15"/>
  <c r="S54" i="15"/>
  <c r="Q54" i="15"/>
  <c r="O54" i="15"/>
  <c r="M54" i="15"/>
  <c r="K54" i="15"/>
  <c r="X53" i="15"/>
  <c r="W53" i="15"/>
  <c r="V53" i="15"/>
  <c r="U53" i="15"/>
  <c r="T53" i="15"/>
  <c r="S53" i="15"/>
  <c r="Q53" i="15"/>
  <c r="O53" i="15"/>
  <c r="M53" i="15"/>
  <c r="K53" i="15"/>
  <c r="X52" i="15"/>
  <c r="W52" i="15"/>
  <c r="V52" i="15"/>
  <c r="U52" i="15"/>
  <c r="T52" i="15"/>
  <c r="S52" i="15"/>
  <c r="Q52" i="15"/>
  <c r="O52" i="15"/>
  <c r="M52" i="15"/>
  <c r="K52" i="15"/>
  <c r="X51" i="15"/>
  <c r="W51" i="15"/>
  <c r="V51" i="15"/>
  <c r="U51" i="15"/>
  <c r="T51" i="15"/>
  <c r="S51" i="15"/>
  <c r="Q51" i="15"/>
  <c r="O51" i="15"/>
  <c r="M51" i="15"/>
  <c r="K51" i="15"/>
  <c r="X50" i="15"/>
  <c r="W50" i="15"/>
  <c r="V50" i="15"/>
  <c r="U50" i="15"/>
  <c r="T50" i="15"/>
  <c r="S50" i="15"/>
  <c r="Q50" i="15"/>
  <c r="O50" i="15"/>
  <c r="M50" i="15"/>
  <c r="K50" i="15"/>
  <c r="X49" i="15"/>
  <c r="W49" i="15"/>
  <c r="V49" i="15"/>
  <c r="U49" i="15"/>
  <c r="T49" i="15"/>
  <c r="S49" i="15"/>
  <c r="Q49" i="15"/>
  <c r="O49" i="15"/>
  <c r="M49" i="15"/>
  <c r="K49" i="15"/>
  <c r="X48" i="15"/>
  <c r="W48" i="15"/>
  <c r="V48" i="15"/>
  <c r="U48" i="15"/>
  <c r="T48" i="15"/>
  <c r="S48" i="15"/>
  <c r="Q48" i="15"/>
  <c r="O48" i="15"/>
  <c r="M48" i="15"/>
  <c r="K48" i="15"/>
  <c r="X47" i="15"/>
  <c r="W47" i="15"/>
  <c r="V47" i="15"/>
  <c r="U47" i="15"/>
  <c r="T47" i="15"/>
  <c r="S47" i="15"/>
  <c r="Q47" i="15"/>
  <c r="O47" i="15"/>
  <c r="M47" i="15"/>
  <c r="K47" i="15"/>
  <c r="X46" i="15"/>
  <c r="W46" i="15"/>
  <c r="V46" i="15"/>
  <c r="U46" i="15"/>
  <c r="T46" i="15"/>
  <c r="S46" i="15"/>
  <c r="Q46" i="15"/>
  <c r="O46" i="15"/>
  <c r="M46" i="15"/>
  <c r="K46" i="15"/>
  <c r="X45" i="15"/>
  <c r="W45" i="15"/>
  <c r="V45" i="15"/>
  <c r="U45" i="15"/>
  <c r="T45" i="15"/>
  <c r="S45" i="15"/>
  <c r="Q45" i="15"/>
  <c r="O45" i="15"/>
  <c r="M45" i="15"/>
  <c r="K45" i="15"/>
  <c r="X44" i="15"/>
  <c r="W44" i="15"/>
  <c r="V44" i="15"/>
  <c r="U44" i="15"/>
  <c r="T44" i="15"/>
  <c r="S44" i="15"/>
  <c r="Q44" i="15"/>
  <c r="O44" i="15"/>
  <c r="M44" i="15"/>
  <c r="K44" i="15"/>
  <c r="X43" i="15"/>
  <c r="W43" i="15"/>
  <c r="V43" i="15"/>
  <c r="U43" i="15"/>
  <c r="T43" i="15"/>
  <c r="S43" i="15"/>
  <c r="Q43" i="15"/>
  <c r="O43" i="15"/>
  <c r="M43" i="15"/>
  <c r="K43" i="15"/>
  <c r="X42" i="15"/>
  <c r="W42" i="15"/>
  <c r="V42" i="15"/>
  <c r="U42" i="15"/>
  <c r="T42" i="15"/>
  <c r="S42" i="15"/>
  <c r="Q42" i="15"/>
  <c r="O42" i="15"/>
  <c r="M42" i="15"/>
  <c r="K42" i="15"/>
  <c r="X41" i="15"/>
  <c r="W41" i="15"/>
  <c r="V41" i="15"/>
  <c r="U41" i="15"/>
  <c r="T41" i="15"/>
  <c r="S41" i="15"/>
  <c r="Q41" i="15"/>
  <c r="O41" i="15"/>
  <c r="M41" i="15"/>
  <c r="K41" i="15"/>
  <c r="X40" i="15"/>
  <c r="W40" i="15"/>
  <c r="V40" i="15"/>
  <c r="U40" i="15"/>
  <c r="T40" i="15"/>
  <c r="S40" i="15"/>
  <c r="Q40" i="15"/>
  <c r="O40" i="15"/>
  <c r="M40" i="15"/>
  <c r="K40" i="15"/>
  <c r="X39" i="15"/>
  <c r="W39" i="15"/>
  <c r="V39" i="15"/>
  <c r="U39" i="15"/>
  <c r="T39" i="15"/>
  <c r="S39" i="15"/>
  <c r="Q39" i="15"/>
  <c r="O39" i="15"/>
  <c r="M39" i="15"/>
  <c r="K39" i="15"/>
  <c r="X38" i="15"/>
  <c r="W38" i="15"/>
  <c r="V38" i="15"/>
  <c r="U38" i="15"/>
  <c r="T38" i="15"/>
  <c r="S38" i="15"/>
  <c r="Q38" i="15"/>
  <c r="O38" i="15"/>
  <c r="M38" i="15"/>
  <c r="K38" i="15"/>
  <c r="X37" i="15"/>
  <c r="W37" i="15"/>
  <c r="V37" i="15"/>
  <c r="U37" i="15"/>
  <c r="T37" i="15"/>
  <c r="S37" i="15"/>
  <c r="Q37" i="15"/>
  <c r="O37" i="15"/>
  <c r="M37" i="15"/>
  <c r="K37" i="15"/>
  <c r="X36" i="15"/>
  <c r="W36" i="15"/>
  <c r="V36" i="15"/>
  <c r="U36" i="15"/>
  <c r="T36" i="15"/>
  <c r="S36" i="15"/>
  <c r="Q36" i="15"/>
  <c r="O36" i="15"/>
  <c r="M36" i="15"/>
  <c r="K36" i="15"/>
  <c r="X35" i="15"/>
  <c r="W35" i="15"/>
  <c r="V35" i="15"/>
  <c r="U35" i="15"/>
  <c r="T35" i="15"/>
  <c r="S35" i="15"/>
  <c r="Q35" i="15"/>
  <c r="O35" i="15"/>
  <c r="M35" i="15"/>
  <c r="K35" i="15"/>
  <c r="X34" i="15"/>
  <c r="W34" i="15"/>
  <c r="V34" i="15"/>
  <c r="U34" i="15"/>
  <c r="T34" i="15"/>
  <c r="S34" i="15"/>
  <c r="Q34" i="15"/>
  <c r="O34" i="15"/>
  <c r="M34" i="15"/>
  <c r="K34" i="15"/>
  <c r="X33" i="15"/>
  <c r="W33" i="15"/>
  <c r="V33" i="15"/>
  <c r="U33" i="15"/>
  <c r="T33" i="15"/>
  <c r="S33" i="15"/>
  <c r="Q33" i="15"/>
  <c r="O33" i="15"/>
  <c r="M33" i="15"/>
  <c r="K33" i="15"/>
  <c r="X32" i="15"/>
  <c r="W32" i="15"/>
  <c r="V32" i="15"/>
  <c r="U32" i="15"/>
  <c r="T32" i="15"/>
  <c r="S32" i="15"/>
  <c r="Q32" i="15"/>
  <c r="O32" i="15"/>
  <c r="M32" i="15"/>
  <c r="K32" i="15"/>
  <c r="X31" i="15"/>
  <c r="W31" i="15"/>
  <c r="V31" i="15"/>
  <c r="U31" i="15"/>
  <c r="T31" i="15"/>
  <c r="S31" i="15"/>
  <c r="Q31" i="15"/>
  <c r="O31" i="15"/>
  <c r="M31" i="15"/>
  <c r="K31" i="15"/>
  <c r="X30" i="15"/>
  <c r="W30" i="15"/>
  <c r="V30" i="15"/>
  <c r="U30" i="15"/>
  <c r="T30" i="15"/>
  <c r="S30" i="15"/>
  <c r="Q30" i="15"/>
  <c r="O30" i="15"/>
  <c r="M30" i="15"/>
  <c r="K30" i="15"/>
  <c r="X29" i="15"/>
  <c r="W29" i="15"/>
  <c r="V29" i="15"/>
  <c r="U29" i="15"/>
  <c r="T29" i="15"/>
  <c r="S29" i="15"/>
  <c r="Q29" i="15"/>
  <c r="O29" i="15"/>
  <c r="M29" i="15"/>
  <c r="K29" i="15"/>
  <c r="X28" i="15"/>
  <c r="W28" i="15"/>
  <c r="V28" i="15"/>
  <c r="U28" i="15"/>
  <c r="T28" i="15"/>
  <c r="S28" i="15"/>
  <c r="Q28" i="15"/>
  <c r="O28" i="15"/>
  <c r="M28" i="15"/>
  <c r="K28" i="15"/>
  <c r="X27" i="15"/>
  <c r="W27" i="15"/>
  <c r="V27" i="15"/>
  <c r="U27" i="15"/>
  <c r="T27" i="15"/>
  <c r="S27" i="15"/>
  <c r="Q27" i="15"/>
  <c r="O27" i="15"/>
  <c r="M27" i="15"/>
  <c r="K27" i="15"/>
  <c r="X26" i="15"/>
  <c r="W26" i="15"/>
  <c r="V26" i="15"/>
  <c r="U26" i="15"/>
  <c r="T26" i="15"/>
  <c r="S26" i="15"/>
  <c r="Q26" i="15"/>
  <c r="O26" i="15"/>
  <c r="M26" i="15"/>
  <c r="K26" i="15"/>
  <c r="X25" i="15"/>
  <c r="W25" i="15"/>
  <c r="V25" i="15"/>
  <c r="U25" i="15"/>
  <c r="T25" i="15"/>
  <c r="S25" i="15"/>
  <c r="Q25" i="15"/>
  <c r="O25" i="15"/>
  <c r="M25" i="15"/>
  <c r="K25" i="15"/>
  <c r="X24" i="15"/>
  <c r="W24" i="15"/>
  <c r="V24" i="15"/>
  <c r="U24" i="15"/>
  <c r="T24" i="15"/>
  <c r="S24" i="15"/>
  <c r="Q24" i="15"/>
  <c r="O24" i="15"/>
  <c r="M24" i="15"/>
  <c r="K24" i="15"/>
  <c r="X23" i="15"/>
  <c r="W23" i="15"/>
  <c r="V23" i="15"/>
  <c r="U23" i="15"/>
  <c r="T23" i="15"/>
  <c r="S23" i="15"/>
  <c r="Q23" i="15"/>
  <c r="O23" i="15"/>
  <c r="M23" i="15"/>
  <c r="K23" i="15"/>
  <c r="X22" i="15"/>
  <c r="W22" i="15"/>
  <c r="V22" i="15"/>
  <c r="U22" i="15"/>
  <c r="T22" i="15"/>
  <c r="S22" i="15"/>
  <c r="Q22" i="15"/>
  <c r="O22" i="15"/>
  <c r="M22" i="15"/>
  <c r="K22" i="15"/>
  <c r="X21" i="15"/>
  <c r="W21" i="15"/>
  <c r="V21" i="15"/>
  <c r="U21" i="15"/>
  <c r="T21" i="15"/>
  <c r="S21" i="15"/>
  <c r="Q21" i="15"/>
  <c r="O21" i="15"/>
  <c r="M21" i="15"/>
  <c r="K21" i="15"/>
  <c r="X20" i="15"/>
  <c r="W20" i="15"/>
  <c r="V20" i="15"/>
  <c r="U20" i="15"/>
  <c r="T20" i="15"/>
  <c r="S20" i="15"/>
  <c r="Q20" i="15"/>
  <c r="O20" i="15"/>
  <c r="M20" i="15"/>
  <c r="K20" i="15"/>
  <c r="X19" i="15"/>
  <c r="W19" i="15"/>
  <c r="V19" i="15"/>
  <c r="U19" i="15"/>
  <c r="T19" i="15"/>
  <c r="S19" i="15"/>
  <c r="Q19" i="15"/>
  <c r="O19" i="15"/>
  <c r="M19" i="15"/>
  <c r="K19" i="15"/>
  <c r="X18" i="15"/>
  <c r="W18" i="15"/>
  <c r="V18" i="15"/>
  <c r="U18" i="15"/>
  <c r="T18" i="15"/>
  <c r="S18" i="15"/>
  <c r="Q18" i="15"/>
  <c r="O18" i="15"/>
  <c r="M18" i="15"/>
  <c r="K18" i="15"/>
  <c r="X17" i="15"/>
  <c r="W17" i="15"/>
  <c r="V17" i="15"/>
  <c r="U17" i="15"/>
  <c r="T17" i="15"/>
  <c r="S17" i="15"/>
  <c r="Q17" i="15"/>
  <c r="O17" i="15"/>
  <c r="M17" i="15"/>
  <c r="K17" i="15"/>
  <c r="X16" i="15"/>
  <c r="W16" i="15"/>
  <c r="V16" i="15"/>
  <c r="U16" i="15"/>
  <c r="T16" i="15"/>
  <c r="S16" i="15"/>
  <c r="Q16" i="15"/>
  <c r="O16" i="15"/>
  <c r="M16" i="15"/>
  <c r="K16" i="15"/>
  <c r="X15" i="15"/>
  <c r="W15" i="15"/>
  <c r="V15" i="15"/>
  <c r="U15" i="15"/>
  <c r="T15" i="15"/>
  <c r="S15" i="15"/>
  <c r="Q15" i="15"/>
  <c r="O15" i="15"/>
  <c r="M15" i="15"/>
  <c r="K15" i="15"/>
  <c r="X14" i="15"/>
  <c r="W14" i="15"/>
  <c r="V14" i="15"/>
  <c r="U14" i="15"/>
  <c r="T14" i="15"/>
  <c r="S14" i="15"/>
  <c r="Q14" i="15"/>
  <c r="O14" i="15"/>
  <c r="M14" i="15"/>
  <c r="K14" i="15"/>
  <c r="X13" i="15"/>
  <c r="W13" i="15"/>
  <c r="V13" i="15"/>
  <c r="U13" i="15"/>
  <c r="T13" i="15"/>
  <c r="S13" i="15"/>
  <c r="Q13" i="15"/>
  <c r="O13" i="15"/>
  <c r="M13" i="15"/>
  <c r="K13" i="15"/>
  <c r="X12" i="15"/>
  <c r="W12" i="15"/>
  <c r="V12" i="15"/>
  <c r="U12" i="15"/>
  <c r="T12" i="15"/>
  <c r="S12" i="15"/>
  <c r="Q12" i="15"/>
  <c r="O12" i="15"/>
  <c r="M12" i="15"/>
  <c r="K12" i="15"/>
  <c r="X11" i="15"/>
  <c r="W11" i="15"/>
  <c r="V11" i="15"/>
  <c r="U11" i="15"/>
  <c r="T11" i="15"/>
  <c r="S11" i="15"/>
  <c r="Q11" i="15"/>
  <c r="O11" i="15"/>
  <c r="M11" i="15"/>
  <c r="K11" i="15"/>
  <c r="X10" i="15"/>
  <c r="W10" i="15"/>
  <c r="V10" i="15"/>
  <c r="U10" i="15"/>
  <c r="T10" i="15"/>
  <c r="S10" i="15"/>
  <c r="Q10" i="15"/>
  <c r="O10" i="15"/>
  <c r="M10" i="15"/>
  <c r="K10" i="15"/>
  <c r="X9" i="15"/>
  <c r="W9" i="15"/>
  <c r="V9" i="15"/>
  <c r="U9" i="15"/>
  <c r="T9" i="15"/>
  <c r="S9" i="15"/>
  <c r="Q9" i="15"/>
  <c r="O9" i="15"/>
  <c r="M9" i="15"/>
  <c r="K9" i="15"/>
  <c r="X8" i="15"/>
  <c r="W8" i="15"/>
  <c r="V8" i="15"/>
  <c r="U8" i="15"/>
  <c r="T8" i="15"/>
  <c r="S8" i="15"/>
  <c r="Q8" i="15"/>
  <c r="O8" i="15"/>
  <c r="M8" i="15"/>
  <c r="K8" i="15"/>
  <c r="X7" i="15"/>
  <c r="W7" i="15"/>
  <c r="V7" i="15"/>
  <c r="U7" i="15"/>
  <c r="T7" i="15"/>
  <c r="S7" i="15"/>
  <c r="Q7" i="15"/>
  <c r="O7" i="15"/>
  <c r="M7" i="15"/>
  <c r="K7" i="15"/>
  <c r="X295" i="14"/>
  <c r="W295" i="14"/>
  <c r="V295" i="14"/>
  <c r="U295" i="14"/>
  <c r="T295" i="14"/>
  <c r="S295" i="14"/>
  <c r="Q295" i="14"/>
  <c r="O295" i="14"/>
  <c r="M295" i="14"/>
  <c r="K295" i="14"/>
  <c r="X294" i="14"/>
  <c r="W294" i="14"/>
  <c r="V294" i="14"/>
  <c r="U294" i="14"/>
  <c r="T294" i="14"/>
  <c r="S294" i="14"/>
  <c r="Q294" i="14"/>
  <c r="O294" i="14"/>
  <c r="M294" i="14"/>
  <c r="K294" i="14"/>
  <c r="X293" i="14"/>
  <c r="W293" i="14"/>
  <c r="V293" i="14"/>
  <c r="U293" i="14"/>
  <c r="T293" i="14"/>
  <c r="S293" i="14"/>
  <c r="Q293" i="14"/>
  <c r="O293" i="14"/>
  <c r="M293" i="14"/>
  <c r="K293" i="14"/>
  <c r="X292" i="14"/>
  <c r="W292" i="14"/>
  <c r="V292" i="14"/>
  <c r="U292" i="14"/>
  <c r="T292" i="14"/>
  <c r="S292" i="14"/>
  <c r="Q292" i="14"/>
  <c r="O292" i="14"/>
  <c r="M292" i="14"/>
  <c r="K292" i="14"/>
  <c r="X291" i="14"/>
  <c r="W291" i="14"/>
  <c r="V291" i="14"/>
  <c r="U291" i="14"/>
  <c r="T291" i="14"/>
  <c r="S291" i="14"/>
  <c r="Q291" i="14"/>
  <c r="O291" i="14"/>
  <c r="M291" i="14"/>
  <c r="K291" i="14"/>
  <c r="X290" i="14"/>
  <c r="W290" i="14"/>
  <c r="V290" i="14"/>
  <c r="U290" i="14"/>
  <c r="T290" i="14"/>
  <c r="S290" i="14"/>
  <c r="Q290" i="14"/>
  <c r="O290" i="14"/>
  <c r="M290" i="14"/>
  <c r="K290" i="14"/>
  <c r="X289" i="14"/>
  <c r="W289" i="14"/>
  <c r="V289" i="14"/>
  <c r="U289" i="14"/>
  <c r="T289" i="14"/>
  <c r="S289" i="14"/>
  <c r="Q289" i="14"/>
  <c r="O289" i="14"/>
  <c r="M289" i="14"/>
  <c r="K289" i="14"/>
  <c r="X288" i="14"/>
  <c r="W288" i="14"/>
  <c r="V288" i="14"/>
  <c r="U288" i="14"/>
  <c r="T288" i="14"/>
  <c r="S288" i="14"/>
  <c r="Q288" i="14"/>
  <c r="O288" i="14"/>
  <c r="M288" i="14"/>
  <c r="K288" i="14"/>
  <c r="X287" i="14"/>
  <c r="W287" i="14"/>
  <c r="V287" i="14"/>
  <c r="U287" i="14"/>
  <c r="T287" i="14"/>
  <c r="S287" i="14"/>
  <c r="Q287" i="14"/>
  <c r="O287" i="14"/>
  <c r="M287" i="14"/>
  <c r="K287" i="14"/>
  <c r="X286" i="14"/>
  <c r="W286" i="14"/>
  <c r="V286" i="14"/>
  <c r="U286" i="14"/>
  <c r="T286" i="14"/>
  <c r="S286" i="14"/>
  <c r="Q286" i="14"/>
  <c r="O286" i="14"/>
  <c r="M286" i="14"/>
  <c r="K286" i="14"/>
  <c r="X285" i="14"/>
  <c r="W285" i="14"/>
  <c r="V285" i="14"/>
  <c r="U285" i="14"/>
  <c r="T285" i="14"/>
  <c r="S285" i="14"/>
  <c r="Q285" i="14"/>
  <c r="O285" i="14"/>
  <c r="M285" i="14"/>
  <c r="K285" i="14"/>
  <c r="X284" i="14"/>
  <c r="W284" i="14"/>
  <c r="V284" i="14"/>
  <c r="U284" i="14"/>
  <c r="T284" i="14"/>
  <c r="S284" i="14"/>
  <c r="Q284" i="14"/>
  <c r="O284" i="14"/>
  <c r="M284" i="14"/>
  <c r="K284" i="14"/>
  <c r="X283" i="14"/>
  <c r="W283" i="14"/>
  <c r="V283" i="14"/>
  <c r="U283" i="14"/>
  <c r="T283" i="14"/>
  <c r="S283" i="14"/>
  <c r="Q283" i="14"/>
  <c r="O283" i="14"/>
  <c r="M283" i="14"/>
  <c r="K283" i="14"/>
  <c r="X282" i="14"/>
  <c r="W282" i="14"/>
  <c r="V282" i="14"/>
  <c r="U282" i="14"/>
  <c r="T282" i="14"/>
  <c r="S282" i="14"/>
  <c r="Q282" i="14"/>
  <c r="O282" i="14"/>
  <c r="M282" i="14"/>
  <c r="K282" i="14"/>
  <c r="X281" i="14"/>
  <c r="W281" i="14"/>
  <c r="V281" i="14"/>
  <c r="U281" i="14"/>
  <c r="T281" i="14"/>
  <c r="S281" i="14"/>
  <c r="Q281" i="14"/>
  <c r="O281" i="14"/>
  <c r="M281" i="14"/>
  <c r="K281" i="14"/>
  <c r="X280" i="14"/>
  <c r="W280" i="14"/>
  <c r="V280" i="14"/>
  <c r="U280" i="14"/>
  <c r="T280" i="14"/>
  <c r="S280" i="14"/>
  <c r="Q280" i="14"/>
  <c r="O280" i="14"/>
  <c r="M280" i="14"/>
  <c r="K280" i="14"/>
  <c r="X279" i="14"/>
  <c r="W279" i="14"/>
  <c r="V279" i="14"/>
  <c r="U279" i="14"/>
  <c r="T279" i="14"/>
  <c r="S279" i="14"/>
  <c r="Q279" i="14"/>
  <c r="O279" i="14"/>
  <c r="M279" i="14"/>
  <c r="K279" i="14"/>
  <c r="X278" i="14"/>
  <c r="W278" i="14"/>
  <c r="V278" i="14"/>
  <c r="U278" i="14"/>
  <c r="T278" i="14"/>
  <c r="S278" i="14"/>
  <c r="Q278" i="14"/>
  <c r="O278" i="14"/>
  <c r="M278" i="14"/>
  <c r="K278" i="14"/>
  <c r="X277" i="14"/>
  <c r="W277" i="14"/>
  <c r="V277" i="14"/>
  <c r="U277" i="14"/>
  <c r="T277" i="14"/>
  <c r="S277" i="14"/>
  <c r="Q277" i="14"/>
  <c r="O277" i="14"/>
  <c r="M277" i="14"/>
  <c r="K277" i="14"/>
  <c r="X276" i="14"/>
  <c r="W276" i="14"/>
  <c r="V276" i="14"/>
  <c r="U276" i="14"/>
  <c r="T276" i="14"/>
  <c r="S276" i="14"/>
  <c r="Q276" i="14"/>
  <c r="O276" i="14"/>
  <c r="M276" i="14"/>
  <c r="K276" i="14"/>
  <c r="X275" i="14"/>
  <c r="W275" i="14"/>
  <c r="V275" i="14"/>
  <c r="U275" i="14"/>
  <c r="T275" i="14"/>
  <c r="S275" i="14"/>
  <c r="Q275" i="14"/>
  <c r="O275" i="14"/>
  <c r="M275" i="14"/>
  <c r="K275" i="14"/>
  <c r="X274" i="14"/>
  <c r="W274" i="14"/>
  <c r="V274" i="14"/>
  <c r="U274" i="14"/>
  <c r="T274" i="14"/>
  <c r="S274" i="14"/>
  <c r="Q274" i="14"/>
  <c r="O274" i="14"/>
  <c r="M274" i="14"/>
  <c r="K274" i="14"/>
  <c r="X273" i="14"/>
  <c r="W273" i="14"/>
  <c r="V273" i="14"/>
  <c r="U273" i="14"/>
  <c r="T273" i="14"/>
  <c r="S273" i="14"/>
  <c r="Q273" i="14"/>
  <c r="O273" i="14"/>
  <c r="M273" i="14"/>
  <c r="K273" i="14"/>
  <c r="X272" i="14"/>
  <c r="W272" i="14"/>
  <c r="V272" i="14"/>
  <c r="U272" i="14"/>
  <c r="T272" i="14"/>
  <c r="S272" i="14"/>
  <c r="Q272" i="14"/>
  <c r="O272" i="14"/>
  <c r="M272" i="14"/>
  <c r="K272" i="14"/>
  <c r="X271" i="14"/>
  <c r="W271" i="14"/>
  <c r="V271" i="14"/>
  <c r="U271" i="14"/>
  <c r="T271" i="14"/>
  <c r="S271" i="14"/>
  <c r="Q271" i="14"/>
  <c r="O271" i="14"/>
  <c r="M271" i="14"/>
  <c r="K271" i="14"/>
  <c r="X270" i="14"/>
  <c r="W270" i="14"/>
  <c r="V270" i="14"/>
  <c r="U270" i="14"/>
  <c r="T270" i="14"/>
  <c r="S270" i="14"/>
  <c r="Q270" i="14"/>
  <c r="O270" i="14"/>
  <c r="M270" i="14"/>
  <c r="K270" i="14"/>
  <c r="X269" i="14"/>
  <c r="W269" i="14"/>
  <c r="V269" i="14"/>
  <c r="U269" i="14"/>
  <c r="T269" i="14"/>
  <c r="S269" i="14"/>
  <c r="Q269" i="14"/>
  <c r="O269" i="14"/>
  <c r="M269" i="14"/>
  <c r="K269" i="14"/>
  <c r="X268" i="14"/>
  <c r="W268" i="14"/>
  <c r="V268" i="14"/>
  <c r="U268" i="14"/>
  <c r="T268" i="14"/>
  <c r="S268" i="14"/>
  <c r="Q268" i="14"/>
  <c r="O268" i="14"/>
  <c r="M268" i="14"/>
  <c r="K268" i="14"/>
  <c r="X267" i="14"/>
  <c r="W267" i="14"/>
  <c r="V267" i="14"/>
  <c r="U267" i="14"/>
  <c r="T267" i="14"/>
  <c r="S267" i="14"/>
  <c r="Q267" i="14"/>
  <c r="O267" i="14"/>
  <c r="M267" i="14"/>
  <c r="K267" i="14"/>
  <c r="X266" i="14"/>
  <c r="W266" i="14"/>
  <c r="V266" i="14"/>
  <c r="U266" i="14"/>
  <c r="T266" i="14"/>
  <c r="S266" i="14"/>
  <c r="Q266" i="14"/>
  <c r="O266" i="14"/>
  <c r="M266" i="14"/>
  <c r="K266" i="14"/>
  <c r="X265" i="14"/>
  <c r="W265" i="14"/>
  <c r="V265" i="14"/>
  <c r="U265" i="14"/>
  <c r="T265" i="14"/>
  <c r="S265" i="14"/>
  <c r="Q265" i="14"/>
  <c r="O265" i="14"/>
  <c r="M265" i="14"/>
  <c r="K265" i="14"/>
  <c r="X264" i="14"/>
  <c r="W264" i="14"/>
  <c r="V264" i="14"/>
  <c r="U264" i="14"/>
  <c r="T264" i="14"/>
  <c r="S264" i="14"/>
  <c r="Q264" i="14"/>
  <c r="O264" i="14"/>
  <c r="M264" i="14"/>
  <c r="K264" i="14"/>
  <c r="X263" i="14"/>
  <c r="W263" i="14"/>
  <c r="V263" i="14"/>
  <c r="U263" i="14"/>
  <c r="T263" i="14"/>
  <c r="S263" i="14"/>
  <c r="Q263" i="14"/>
  <c r="O263" i="14"/>
  <c r="M263" i="14"/>
  <c r="K263" i="14"/>
  <c r="X262" i="14"/>
  <c r="W262" i="14"/>
  <c r="V262" i="14"/>
  <c r="U262" i="14"/>
  <c r="T262" i="14"/>
  <c r="S262" i="14"/>
  <c r="Q262" i="14"/>
  <c r="O262" i="14"/>
  <c r="M262" i="14"/>
  <c r="K262" i="14"/>
  <c r="X261" i="14"/>
  <c r="W261" i="14"/>
  <c r="V261" i="14"/>
  <c r="U261" i="14"/>
  <c r="T261" i="14"/>
  <c r="S261" i="14"/>
  <c r="Q261" i="14"/>
  <c r="O261" i="14"/>
  <c r="M261" i="14"/>
  <c r="K261" i="14"/>
  <c r="X260" i="14"/>
  <c r="W260" i="14"/>
  <c r="V260" i="14"/>
  <c r="U260" i="14"/>
  <c r="T260" i="14"/>
  <c r="S260" i="14"/>
  <c r="Q260" i="14"/>
  <c r="O260" i="14"/>
  <c r="M260" i="14"/>
  <c r="K260" i="14"/>
  <c r="X259" i="14"/>
  <c r="W259" i="14"/>
  <c r="V259" i="14"/>
  <c r="U259" i="14"/>
  <c r="T259" i="14"/>
  <c r="S259" i="14"/>
  <c r="Q259" i="14"/>
  <c r="O259" i="14"/>
  <c r="M259" i="14"/>
  <c r="K259" i="14"/>
  <c r="X258" i="14"/>
  <c r="W258" i="14"/>
  <c r="V258" i="14"/>
  <c r="U258" i="14"/>
  <c r="T258" i="14"/>
  <c r="S258" i="14"/>
  <c r="Q258" i="14"/>
  <c r="O258" i="14"/>
  <c r="M258" i="14"/>
  <c r="K258" i="14"/>
  <c r="X257" i="14"/>
  <c r="W257" i="14"/>
  <c r="V257" i="14"/>
  <c r="U257" i="14"/>
  <c r="T257" i="14"/>
  <c r="S257" i="14"/>
  <c r="Q257" i="14"/>
  <c r="O257" i="14"/>
  <c r="M257" i="14"/>
  <c r="K257" i="14"/>
  <c r="X256" i="14"/>
  <c r="W256" i="14"/>
  <c r="V256" i="14"/>
  <c r="U256" i="14"/>
  <c r="T256" i="14"/>
  <c r="S256" i="14"/>
  <c r="Q256" i="14"/>
  <c r="O256" i="14"/>
  <c r="M256" i="14"/>
  <c r="K256" i="14"/>
  <c r="X255" i="14"/>
  <c r="W255" i="14"/>
  <c r="V255" i="14"/>
  <c r="U255" i="14"/>
  <c r="T255" i="14"/>
  <c r="S255" i="14"/>
  <c r="Q255" i="14"/>
  <c r="O255" i="14"/>
  <c r="M255" i="14"/>
  <c r="K255" i="14"/>
  <c r="X254" i="14"/>
  <c r="W254" i="14"/>
  <c r="V254" i="14"/>
  <c r="U254" i="14"/>
  <c r="T254" i="14"/>
  <c r="S254" i="14"/>
  <c r="Q254" i="14"/>
  <c r="O254" i="14"/>
  <c r="M254" i="14"/>
  <c r="K254" i="14"/>
  <c r="X253" i="14"/>
  <c r="W253" i="14"/>
  <c r="V253" i="14"/>
  <c r="U253" i="14"/>
  <c r="T253" i="14"/>
  <c r="S253" i="14"/>
  <c r="Q253" i="14"/>
  <c r="O253" i="14"/>
  <c r="M253" i="14"/>
  <c r="K253" i="14"/>
  <c r="X252" i="14"/>
  <c r="W252" i="14"/>
  <c r="V252" i="14"/>
  <c r="U252" i="14"/>
  <c r="T252" i="14"/>
  <c r="S252" i="14"/>
  <c r="Q252" i="14"/>
  <c r="O252" i="14"/>
  <c r="M252" i="14"/>
  <c r="K252" i="14"/>
  <c r="X251" i="14"/>
  <c r="W251" i="14"/>
  <c r="V251" i="14"/>
  <c r="U251" i="14"/>
  <c r="T251" i="14"/>
  <c r="S251" i="14"/>
  <c r="Q251" i="14"/>
  <c r="O251" i="14"/>
  <c r="M251" i="14"/>
  <c r="K251" i="14"/>
  <c r="X250" i="14"/>
  <c r="W250" i="14"/>
  <c r="V250" i="14"/>
  <c r="U250" i="14"/>
  <c r="T250" i="14"/>
  <c r="S250" i="14"/>
  <c r="Q250" i="14"/>
  <c r="O250" i="14"/>
  <c r="M250" i="14"/>
  <c r="K250" i="14"/>
  <c r="X249" i="14"/>
  <c r="W249" i="14"/>
  <c r="V249" i="14"/>
  <c r="U249" i="14"/>
  <c r="T249" i="14"/>
  <c r="S249" i="14"/>
  <c r="Q249" i="14"/>
  <c r="O249" i="14"/>
  <c r="M249" i="14"/>
  <c r="K249" i="14"/>
  <c r="X248" i="14"/>
  <c r="W248" i="14"/>
  <c r="V248" i="14"/>
  <c r="U248" i="14"/>
  <c r="T248" i="14"/>
  <c r="S248" i="14"/>
  <c r="Q248" i="14"/>
  <c r="O248" i="14"/>
  <c r="M248" i="14"/>
  <c r="K248" i="14"/>
  <c r="X247" i="14"/>
  <c r="W247" i="14"/>
  <c r="V247" i="14"/>
  <c r="U247" i="14"/>
  <c r="T247" i="14"/>
  <c r="S247" i="14"/>
  <c r="Q247" i="14"/>
  <c r="O247" i="14"/>
  <c r="M247" i="14"/>
  <c r="K247" i="14"/>
  <c r="X246" i="14"/>
  <c r="W246" i="14"/>
  <c r="V246" i="14"/>
  <c r="U246" i="14"/>
  <c r="T246" i="14"/>
  <c r="S246" i="14"/>
  <c r="Q246" i="14"/>
  <c r="O246" i="14"/>
  <c r="M246" i="14"/>
  <c r="K246" i="14"/>
  <c r="X245" i="14"/>
  <c r="W245" i="14"/>
  <c r="V245" i="14"/>
  <c r="U245" i="14"/>
  <c r="T245" i="14"/>
  <c r="S245" i="14"/>
  <c r="Q245" i="14"/>
  <c r="O245" i="14"/>
  <c r="M245" i="14"/>
  <c r="K245" i="14"/>
  <c r="X244" i="14"/>
  <c r="W244" i="14"/>
  <c r="V244" i="14"/>
  <c r="U244" i="14"/>
  <c r="T244" i="14"/>
  <c r="S244" i="14"/>
  <c r="Q244" i="14"/>
  <c r="O244" i="14"/>
  <c r="M244" i="14"/>
  <c r="K244" i="14"/>
  <c r="X243" i="14"/>
  <c r="W243" i="14"/>
  <c r="V243" i="14"/>
  <c r="U243" i="14"/>
  <c r="T243" i="14"/>
  <c r="S243" i="14"/>
  <c r="Q243" i="14"/>
  <c r="O243" i="14"/>
  <c r="M243" i="14"/>
  <c r="K243" i="14"/>
  <c r="X242" i="14"/>
  <c r="W242" i="14"/>
  <c r="V242" i="14"/>
  <c r="U242" i="14"/>
  <c r="T242" i="14"/>
  <c r="S242" i="14"/>
  <c r="Q242" i="14"/>
  <c r="O242" i="14"/>
  <c r="M242" i="14"/>
  <c r="K242" i="14"/>
  <c r="X241" i="14"/>
  <c r="W241" i="14"/>
  <c r="V241" i="14"/>
  <c r="U241" i="14"/>
  <c r="T241" i="14"/>
  <c r="S241" i="14"/>
  <c r="Q241" i="14"/>
  <c r="O241" i="14"/>
  <c r="M241" i="14"/>
  <c r="K241" i="14"/>
  <c r="X240" i="14"/>
  <c r="W240" i="14"/>
  <c r="V240" i="14"/>
  <c r="U240" i="14"/>
  <c r="T240" i="14"/>
  <c r="S240" i="14"/>
  <c r="Q240" i="14"/>
  <c r="O240" i="14"/>
  <c r="M240" i="14"/>
  <c r="K240" i="14"/>
  <c r="X239" i="14"/>
  <c r="W239" i="14"/>
  <c r="V239" i="14"/>
  <c r="U239" i="14"/>
  <c r="T239" i="14"/>
  <c r="S239" i="14"/>
  <c r="Q239" i="14"/>
  <c r="O239" i="14"/>
  <c r="M239" i="14"/>
  <c r="K239" i="14"/>
  <c r="X238" i="14"/>
  <c r="W238" i="14"/>
  <c r="V238" i="14"/>
  <c r="U238" i="14"/>
  <c r="T238" i="14"/>
  <c r="S238" i="14"/>
  <c r="Q238" i="14"/>
  <c r="O238" i="14"/>
  <c r="M238" i="14"/>
  <c r="K238" i="14"/>
  <c r="X237" i="14"/>
  <c r="W237" i="14"/>
  <c r="V237" i="14"/>
  <c r="U237" i="14"/>
  <c r="T237" i="14"/>
  <c r="S237" i="14"/>
  <c r="Q237" i="14"/>
  <c r="O237" i="14"/>
  <c r="M237" i="14"/>
  <c r="K237" i="14"/>
  <c r="X236" i="14"/>
  <c r="W236" i="14"/>
  <c r="V236" i="14"/>
  <c r="U236" i="14"/>
  <c r="T236" i="14"/>
  <c r="S236" i="14"/>
  <c r="Q236" i="14"/>
  <c r="O236" i="14"/>
  <c r="M236" i="14"/>
  <c r="K236" i="14"/>
  <c r="X235" i="14"/>
  <c r="W235" i="14"/>
  <c r="V235" i="14"/>
  <c r="U235" i="14"/>
  <c r="T235" i="14"/>
  <c r="S235" i="14"/>
  <c r="Q235" i="14"/>
  <c r="O235" i="14"/>
  <c r="M235" i="14"/>
  <c r="K235" i="14"/>
  <c r="X234" i="14"/>
  <c r="W234" i="14"/>
  <c r="V234" i="14"/>
  <c r="U234" i="14"/>
  <c r="T234" i="14"/>
  <c r="S234" i="14"/>
  <c r="Q234" i="14"/>
  <c r="O234" i="14"/>
  <c r="M234" i="14"/>
  <c r="K234" i="14"/>
  <c r="X233" i="14"/>
  <c r="W233" i="14"/>
  <c r="V233" i="14"/>
  <c r="U233" i="14"/>
  <c r="T233" i="14"/>
  <c r="S233" i="14"/>
  <c r="Q233" i="14"/>
  <c r="O233" i="14"/>
  <c r="M233" i="14"/>
  <c r="K233" i="14"/>
  <c r="X232" i="14"/>
  <c r="W232" i="14"/>
  <c r="V232" i="14"/>
  <c r="U232" i="14"/>
  <c r="T232" i="14"/>
  <c r="S232" i="14"/>
  <c r="Q232" i="14"/>
  <c r="O232" i="14"/>
  <c r="M232" i="14"/>
  <c r="K232" i="14"/>
  <c r="X231" i="14"/>
  <c r="W231" i="14"/>
  <c r="V231" i="14"/>
  <c r="U231" i="14"/>
  <c r="T231" i="14"/>
  <c r="S231" i="14"/>
  <c r="Q231" i="14"/>
  <c r="O231" i="14"/>
  <c r="M231" i="14"/>
  <c r="K231" i="14"/>
  <c r="X230" i="14"/>
  <c r="W230" i="14"/>
  <c r="V230" i="14"/>
  <c r="U230" i="14"/>
  <c r="T230" i="14"/>
  <c r="S230" i="14"/>
  <c r="Q230" i="14"/>
  <c r="O230" i="14"/>
  <c r="M230" i="14"/>
  <c r="K230" i="14"/>
  <c r="X229" i="14"/>
  <c r="W229" i="14"/>
  <c r="V229" i="14"/>
  <c r="U229" i="14"/>
  <c r="T229" i="14"/>
  <c r="S229" i="14"/>
  <c r="Q229" i="14"/>
  <c r="O229" i="14"/>
  <c r="M229" i="14"/>
  <c r="K229" i="14"/>
  <c r="X228" i="14"/>
  <c r="W228" i="14"/>
  <c r="V228" i="14"/>
  <c r="U228" i="14"/>
  <c r="T228" i="14"/>
  <c r="S228" i="14"/>
  <c r="Q228" i="14"/>
  <c r="O228" i="14"/>
  <c r="M228" i="14"/>
  <c r="K228" i="14"/>
  <c r="X227" i="14"/>
  <c r="W227" i="14"/>
  <c r="V227" i="14"/>
  <c r="U227" i="14"/>
  <c r="T227" i="14"/>
  <c r="S227" i="14"/>
  <c r="Q227" i="14"/>
  <c r="O227" i="14"/>
  <c r="M227" i="14"/>
  <c r="K227" i="14"/>
  <c r="X226" i="14"/>
  <c r="W226" i="14"/>
  <c r="V226" i="14"/>
  <c r="U226" i="14"/>
  <c r="T226" i="14"/>
  <c r="S226" i="14"/>
  <c r="Q226" i="14"/>
  <c r="O226" i="14"/>
  <c r="M226" i="14"/>
  <c r="K226" i="14"/>
  <c r="X225" i="14"/>
  <c r="W225" i="14"/>
  <c r="V225" i="14"/>
  <c r="U225" i="14"/>
  <c r="T225" i="14"/>
  <c r="S225" i="14"/>
  <c r="Q225" i="14"/>
  <c r="O225" i="14"/>
  <c r="M225" i="14"/>
  <c r="K225" i="14"/>
  <c r="X224" i="14"/>
  <c r="W224" i="14"/>
  <c r="V224" i="14"/>
  <c r="U224" i="14"/>
  <c r="T224" i="14"/>
  <c r="S224" i="14"/>
  <c r="Q224" i="14"/>
  <c r="O224" i="14"/>
  <c r="M224" i="14"/>
  <c r="K224" i="14"/>
  <c r="X223" i="14"/>
  <c r="W223" i="14"/>
  <c r="V223" i="14"/>
  <c r="U223" i="14"/>
  <c r="T223" i="14"/>
  <c r="S223" i="14"/>
  <c r="Q223" i="14"/>
  <c r="O223" i="14"/>
  <c r="M223" i="14"/>
  <c r="K223" i="14"/>
  <c r="X222" i="14"/>
  <c r="W222" i="14"/>
  <c r="V222" i="14"/>
  <c r="U222" i="14"/>
  <c r="T222" i="14"/>
  <c r="S222" i="14"/>
  <c r="Q222" i="14"/>
  <c r="O222" i="14"/>
  <c r="M222" i="14"/>
  <c r="K222" i="14"/>
  <c r="X221" i="14"/>
  <c r="W221" i="14"/>
  <c r="V221" i="14"/>
  <c r="U221" i="14"/>
  <c r="T221" i="14"/>
  <c r="S221" i="14"/>
  <c r="Q221" i="14"/>
  <c r="O221" i="14"/>
  <c r="M221" i="14"/>
  <c r="K221" i="14"/>
  <c r="X220" i="14"/>
  <c r="W220" i="14"/>
  <c r="V220" i="14"/>
  <c r="U220" i="14"/>
  <c r="T220" i="14"/>
  <c r="S220" i="14"/>
  <c r="Q220" i="14"/>
  <c r="O220" i="14"/>
  <c r="M220" i="14"/>
  <c r="K220" i="14"/>
  <c r="X219" i="14"/>
  <c r="W219" i="14"/>
  <c r="V219" i="14"/>
  <c r="U219" i="14"/>
  <c r="T219" i="14"/>
  <c r="S219" i="14"/>
  <c r="Q219" i="14"/>
  <c r="O219" i="14"/>
  <c r="M219" i="14"/>
  <c r="K219" i="14"/>
  <c r="X218" i="14"/>
  <c r="W218" i="14"/>
  <c r="V218" i="14"/>
  <c r="U218" i="14"/>
  <c r="T218" i="14"/>
  <c r="S218" i="14"/>
  <c r="Q218" i="14"/>
  <c r="O218" i="14"/>
  <c r="M218" i="14"/>
  <c r="K218" i="14"/>
  <c r="X217" i="14"/>
  <c r="W217" i="14"/>
  <c r="V217" i="14"/>
  <c r="U217" i="14"/>
  <c r="T217" i="14"/>
  <c r="S217" i="14"/>
  <c r="Q217" i="14"/>
  <c r="O217" i="14"/>
  <c r="M217" i="14"/>
  <c r="K217" i="14"/>
  <c r="X216" i="14"/>
  <c r="W216" i="14"/>
  <c r="V216" i="14"/>
  <c r="U216" i="14"/>
  <c r="T216" i="14"/>
  <c r="S216" i="14"/>
  <c r="Q216" i="14"/>
  <c r="O216" i="14"/>
  <c r="M216" i="14"/>
  <c r="K216" i="14"/>
  <c r="X215" i="14"/>
  <c r="W215" i="14"/>
  <c r="V215" i="14"/>
  <c r="U215" i="14"/>
  <c r="T215" i="14"/>
  <c r="S215" i="14"/>
  <c r="Q215" i="14"/>
  <c r="O215" i="14"/>
  <c r="M215" i="14"/>
  <c r="K215" i="14"/>
  <c r="X214" i="14"/>
  <c r="W214" i="14"/>
  <c r="V214" i="14"/>
  <c r="U214" i="14"/>
  <c r="T214" i="14"/>
  <c r="S214" i="14"/>
  <c r="Q214" i="14"/>
  <c r="O214" i="14"/>
  <c r="M214" i="14"/>
  <c r="K214" i="14"/>
  <c r="X213" i="14"/>
  <c r="W213" i="14"/>
  <c r="V213" i="14"/>
  <c r="U213" i="14"/>
  <c r="T213" i="14"/>
  <c r="S213" i="14"/>
  <c r="Q213" i="14"/>
  <c r="O213" i="14"/>
  <c r="M213" i="14"/>
  <c r="K213" i="14"/>
  <c r="X212" i="14"/>
  <c r="W212" i="14"/>
  <c r="V212" i="14"/>
  <c r="U212" i="14"/>
  <c r="T212" i="14"/>
  <c r="S212" i="14"/>
  <c r="Q212" i="14"/>
  <c r="O212" i="14"/>
  <c r="M212" i="14"/>
  <c r="K212" i="14"/>
  <c r="X211" i="14"/>
  <c r="W211" i="14"/>
  <c r="V211" i="14"/>
  <c r="U211" i="14"/>
  <c r="T211" i="14"/>
  <c r="S211" i="14"/>
  <c r="Q211" i="14"/>
  <c r="O211" i="14"/>
  <c r="M211" i="14"/>
  <c r="K211" i="14"/>
  <c r="X210" i="14"/>
  <c r="W210" i="14"/>
  <c r="V210" i="14"/>
  <c r="U210" i="14"/>
  <c r="T210" i="14"/>
  <c r="S210" i="14"/>
  <c r="Q210" i="14"/>
  <c r="O210" i="14"/>
  <c r="M210" i="14"/>
  <c r="K210" i="14"/>
  <c r="X209" i="14"/>
  <c r="W209" i="14"/>
  <c r="V209" i="14"/>
  <c r="U209" i="14"/>
  <c r="T209" i="14"/>
  <c r="S209" i="14"/>
  <c r="Q209" i="14"/>
  <c r="O209" i="14"/>
  <c r="M209" i="14"/>
  <c r="K209" i="14"/>
  <c r="X208" i="14"/>
  <c r="W208" i="14"/>
  <c r="V208" i="14"/>
  <c r="U208" i="14"/>
  <c r="T208" i="14"/>
  <c r="S208" i="14"/>
  <c r="Q208" i="14"/>
  <c r="O208" i="14"/>
  <c r="M208" i="14"/>
  <c r="K208" i="14"/>
  <c r="X207" i="14"/>
  <c r="W207" i="14"/>
  <c r="V207" i="14"/>
  <c r="U207" i="14"/>
  <c r="T207" i="14"/>
  <c r="S207" i="14"/>
  <c r="Q207" i="14"/>
  <c r="O207" i="14"/>
  <c r="M207" i="14"/>
  <c r="K207" i="14"/>
  <c r="X206" i="14"/>
  <c r="W206" i="14"/>
  <c r="V206" i="14"/>
  <c r="U206" i="14"/>
  <c r="T206" i="14"/>
  <c r="S206" i="14"/>
  <c r="Q206" i="14"/>
  <c r="O206" i="14"/>
  <c r="M206" i="14"/>
  <c r="K206" i="14"/>
  <c r="X205" i="14"/>
  <c r="W205" i="14"/>
  <c r="V205" i="14"/>
  <c r="U205" i="14"/>
  <c r="T205" i="14"/>
  <c r="S205" i="14"/>
  <c r="Q205" i="14"/>
  <c r="O205" i="14"/>
  <c r="M205" i="14"/>
  <c r="K205" i="14"/>
  <c r="X204" i="14"/>
  <c r="W204" i="14"/>
  <c r="V204" i="14"/>
  <c r="U204" i="14"/>
  <c r="T204" i="14"/>
  <c r="S204" i="14"/>
  <c r="Q204" i="14"/>
  <c r="O204" i="14"/>
  <c r="M204" i="14"/>
  <c r="K204" i="14"/>
  <c r="X203" i="14"/>
  <c r="W203" i="14"/>
  <c r="V203" i="14"/>
  <c r="U203" i="14"/>
  <c r="T203" i="14"/>
  <c r="S203" i="14"/>
  <c r="Q203" i="14"/>
  <c r="O203" i="14"/>
  <c r="M203" i="14"/>
  <c r="K203" i="14"/>
  <c r="X202" i="14"/>
  <c r="W202" i="14"/>
  <c r="V202" i="14"/>
  <c r="U202" i="14"/>
  <c r="T202" i="14"/>
  <c r="S202" i="14"/>
  <c r="Q202" i="14"/>
  <c r="O202" i="14"/>
  <c r="M202" i="14"/>
  <c r="K202" i="14"/>
  <c r="X201" i="14"/>
  <c r="W201" i="14"/>
  <c r="V201" i="14"/>
  <c r="U201" i="14"/>
  <c r="T201" i="14"/>
  <c r="S201" i="14"/>
  <c r="Q201" i="14"/>
  <c r="O201" i="14"/>
  <c r="M201" i="14"/>
  <c r="K201" i="14"/>
  <c r="X200" i="14"/>
  <c r="W200" i="14"/>
  <c r="V200" i="14"/>
  <c r="U200" i="14"/>
  <c r="T200" i="14"/>
  <c r="S200" i="14"/>
  <c r="Q200" i="14"/>
  <c r="O200" i="14"/>
  <c r="M200" i="14"/>
  <c r="K200" i="14"/>
  <c r="X199" i="14"/>
  <c r="W199" i="14"/>
  <c r="V199" i="14"/>
  <c r="U199" i="14"/>
  <c r="T199" i="14"/>
  <c r="S199" i="14"/>
  <c r="Q199" i="14"/>
  <c r="O199" i="14"/>
  <c r="M199" i="14"/>
  <c r="K199" i="14"/>
  <c r="X198" i="14"/>
  <c r="W198" i="14"/>
  <c r="V198" i="14"/>
  <c r="U198" i="14"/>
  <c r="T198" i="14"/>
  <c r="S198" i="14"/>
  <c r="Q198" i="14"/>
  <c r="O198" i="14"/>
  <c r="M198" i="14"/>
  <c r="K198" i="14"/>
  <c r="X197" i="14"/>
  <c r="W197" i="14"/>
  <c r="V197" i="14"/>
  <c r="U197" i="14"/>
  <c r="T197" i="14"/>
  <c r="S197" i="14"/>
  <c r="Q197" i="14"/>
  <c r="O197" i="14"/>
  <c r="M197" i="14"/>
  <c r="K197" i="14"/>
  <c r="X196" i="14"/>
  <c r="W196" i="14"/>
  <c r="V196" i="14"/>
  <c r="U196" i="14"/>
  <c r="T196" i="14"/>
  <c r="S196" i="14"/>
  <c r="Q196" i="14"/>
  <c r="O196" i="14"/>
  <c r="M196" i="14"/>
  <c r="K196" i="14"/>
  <c r="X195" i="14"/>
  <c r="W195" i="14"/>
  <c r="V195" i="14"/>
  <c r="U195" i="14"/>
  <c r="T195" i="14"/>
  <c r="S195" i="14"/>
  <c r="Q195" i="14"/>
  <c r="O195" i="14"/>
  <c r="M195" i="14"/>
  <c r="K195" i="14"/>
  <c r="X194" i="14"/>
  <c r="W194" i="14"/>
  <c r="V194" i="14"/>
  <c r="U194" i="14"/>
  <c r="T194" i="14"/>
  <c r="S194" i="14"/>
  <c r="Q194" i="14"/>
  <c r="O194" i="14"/>
  <c r="M194" i="14"/>
  <c r="K194" i="14"/>
  <c r="X193" i="14"/>
  <c r="W193" i="14"/>
  <c r="V193" i="14"/>
  <c r="U193" i="14"/>
  <c r="T193" i="14"/>
  <c r="S193" i="14"/>
  <c r="Q193" i="14"/>
  <c r="O193" i="14"/>
  <c r="M193" i="14"/>
  <c r="K193" i="14"/>
  <c r="X192" i="14"/>
  <c r="W192" i="14"/>
  <c r="V192" i="14"/>
  <c r="U192" i="14"/>
  <c r="T192" i="14"/>
  <c r="S192" i="14"/>
  <c r="Q192" i="14"/>
  <c r="O192" i="14"/>
  <c r="M192" i="14"/>
  <c r="K192" i="14"/>
  <c r="X191" i="14"/>
  <c r="W191" i="14"/>
  <c r="V191" i="14"/>
  <c r="U191" i="14"/>
  <c r="T191" i="14"/>
  <c r="S191" i="14"/>
  <c r="Q191" i="14"/>
  <c r="O191" i="14"/>
  <c r="M191" i="14"/>
  <c r="K191" i="14"/>
  <c r="X190" i="14"/>
  <c r="W190" i="14"/>
  <c r="V190" i="14"/>
  <c r="U190" i="14"/>
  <c r="T190" i="14"/>
  <c r="S190" i="14"/>
  <c r="Q190" i="14"/>
  <c r="O190" i="14"/>
  <c r="M190" i="14"/>
  <c r="K190" i="14"/>
  <c r="X189" i="14"/>
  <c r="W189" i="14"/>
  <c r="V189" i="14"/>
  <c r="U189" i="14"/>
  <c r="T189" i="14"/>
  <c r="S189" i="14"/>
  <c r="Q189" i="14"/>
  <c r="O189" i="14"/>
  <c r="M189" i="14"/>
  <c r="K189" i="14"/>
  <c r="X188" i="14"/>
  <c r="W188" i="14"/>
  <c r="V188" i="14"/>
  <c r="U188" i="14"/>
  <c r="T188" i="14"/>
  <c r="S188" i="14"/>
  <c r="Q188" i="14"/>
  <c r="O188" i="14"/>
  <c r="M188" i="14"/>
  <c r="K188" i="14"/>
  <c r="X187" i="14"/>
  <c r="W187" i="14"/>
  <c r="V187" i="14"/>
  <c r="U187" i="14"/>
  <c r="T187" i="14"/>
  <c r="S187" i="14"/>
  <c r="Q187" i="14"/>
  <c r="O187" i="14"/>
  <c r="M187" i="14"/>
  <c r="K187" i="14"/>
  <c r="X186" i="14"/>
  <c r="W186" i="14"/>
  <c r="V186" i="14"/>
  <c r="U186" i="14"/>
  <c r="T186" i="14"/>
  <c r="S186" i="14"/>
  <c r="Q186" i="14"/>
  <c r="O186" i="14"/>
  <c r="M186" i="14"/>
  <c r="K186" i="14"/>
  <c r="X185" i="14"/>
  <c r="W185" i="14"/>
  <c r="V185" i="14"/>
  <c r="U185" i="14"/>
  <c r="T185" i="14"/>
  <c r="S185" i="14"/>
  <c r="Q185" i="14"/>
  <c r="O185" i="14"/>
  <c r="M185" i="14"/>
  <c r="K185" i="14"/>
  <c r="X184" i="14"/>
  <c r="W184" i="14"/>
  <c r="V184" i="14"/>
  <c r="U184" i="14"/>
  <c r="T184" i="14"/>
  <c r="S184" i="14"/>
  <c r="Q184" i="14"/>
  <c r="O184" i="14"/>
  <c r="M184" i="14"/>
  <c r="K184" i="14"/>
  <c r="X183" i="14"/>
  <c r="W183" i="14"/>
  <c r="V183" i="14"/>
  <c r="U183" i="14"/>
  <c r="T183" i="14"/>
  <c r="S183" i="14"/>
  <c r="Q183" i="14"/>
  <c r="O183" i="14"/>
  <c r="M183" i="14"/>
  <c r="K183" i="14"/>
  <c r="X182" i="14"/>
  <c r="W182" i="14"/>
  <c r="V182" i="14"/>
  <c r="U182" i="14"/>
  <c r="T182" i="14"/>
  <c r="S182" i="14"/>
  <c r="Q182" i="14"/>
  <c r="O182" i="14"/>
  <c r="M182" i="14"/>
  <c r="K182" i="14"/>
  <c r="X181" i="14"/>
  <c r="W181" i="14"/>
  <c r="V181" i="14"/>
  <c r="U181" i="14"/>
  <c r="T181" i="14"/>
  <c r="S181" i="14"/>
  <c r="Q181" i="14"/>
  <c r="O181" i="14"/>
  <c r="M181" i="14"/>
  <c r="K181" i="14"/>
  <c r="X180" i="14"/>
  <c r="W180" i="14"/>
  <c r="V180" i="14"/>
  <c r="U180" i="14"/>
  <c r="T180" i="14"/>
  <c r="S180" i="14"/>
  <c r="Q180" i="14"/>
  <c r="O180" i="14"/>
  <c r="M180" i="14"/>
  <c r="K180" i="14"/>
  <c r="X179" i="14"/>
  <c r="W179" i="14"/>
  <c r="V179" i="14"/>
  <c r="U179" i="14"/>
  <c r="T179" i="14"/>
  <c r="S179" i="14"/>
  <c r="Q179" i="14"/>
  <c r="O179" i="14"/>
  <c r="M179" i="14"/>
  <c r="K179" i="14"/>
  <c r="X178" i="14"/>
  <c r="W178" i="14"/>
  <c r="V178" i="14"/>
  <c r="U178" i="14"/>
  <c r="T178" i="14"/>
  <c r="S178" i="14"/>
  <c r="Q178" i="14"/>
  <c r="O178" i="14"/>
  <c r="M178" i="14"/>
  <c r="K178" i="14"/>
  <c r="X177" i="14"/>
  <c r="W177" i="14"/>
  <c r="V177" i="14"/>
  <c r="U177" i="14"/>
  <c r="T177" i="14"/>
  <c r="S177" i="14"/>
  <c r="Q177" i="14"/>
  <c r="O177" i="14"/>
  <c r="M177" i="14"/>
  <c r="K177" i="14"/>
  <c r="X176" i="14"/>
  <c r="W176" i="14"/>
  <c r="V176" i="14"/>
  <c r="U176" i="14"/>
  <c r="T176" i="14"/>
  <c r="S176" i="14"/>
  <c r="Q176" i="14"/>
  <c r="O176" i="14"/>
  <c r="M176" i="14"/>
  <c r="K176" i="14"/>
  <c r="X175" i="14"/>
  <c r="W175" i="14"/>
  <c r="V175" i="14"/>
  <c r="U175" i="14"/>
  <c r="T175" i="14"/>
  <c r="S175" i="14"/>
  <c r="Q175" i="14"/>
  <c r="O175" i="14"/>
  <c r="M175" i="14"/>
  <c r="K175" i="14"/>
  <c r="X174" i="14"/>
  <c r="W174" i="14"/>
  <c r="V174" i="14"/>
  <c r="U174" i="14"/>
  <c r="T174" i="14"/>
  <c r="S174" i="14"/>
  <c r="Q174" i="14"/>
  <c r="O174" i="14"/>
  <c r="M174" i="14"/>
  <c r="K174" i="14"/>
  <c r="X173" i="14"/>
  <c r="W173" i="14"/>
  <c r="V173" i="14"/>
  <c r="U173" i="14"/>
  <c r="T173" i="14"/>
  <c r="S173" i="14"/>
  <c r="Q173" i="14"/>
  <c r="O173" i="14"/>
  <c r="M173" i="14"/>
  <c r="K173" i="14"/>
  <c r="X172" i="14"/>
  <c r="W172" i="14"/>
  <c r="V172" i="14"/>
  <c r="U172" i="14"/>
  <c r="T172" i="14"/>
  <c r="S172" i="14"/>
  <c r="Q172" i="14"/>
  <c r="O172" i="14"/>
  <c r="M172" i="14"/>
  <c r="K172" i="14"/>
  <c r="X171" i="14"/>
  <c r="W171" i="14"/>
  <c r="V171" i="14"/>
  <c r="U171" i="14"/>
  <c r="T171" i="14"/>
  <c r="S171" i="14"/>
  <c r="Q171" i="14"/>
  <c r="O171" i="14"/>
  <c r="M171" i="14"/>
  <c r="K171" i="14"/>
  <c r="X170" i="14"/>
  <c r="W170" i="14"/>
  <c r="V170" i="14"/>
  <c r="U170" i="14"/>
  <c r="T170" i="14"/>
  <c r="S170" i="14"/>
  <c r="Q170" i="14"/>
  <c r="O170" i="14"/>
  <c r="M170" i="14"/>
  <c r="K170" i="14"/>
  <c r="X169" i="14"/>
  <c r="W169" i="14"/>
  <c r="V169" i="14"/>
  <c r="U169" i="14"/>
  <c r="T169" i="14"/>
  <c r="S169" i="14"/>
  <c r="Q169" i="14"/>
  <c r="O169" i="14"/>
  <c r="M169" i="14"/>
  <c r="K169" i="14"/>
  <c r="X168" i="14"/>
  <c r="W168" i="14"/>
  <c r="V168" i="14"/>
  <c r="U168" i="14"/>
  <c r="T168" i="14"/>
  <c r="S168" i="14"/>
  <c r="Q168" i="14"/>
  <c r="O168" i="14"/>
  <c r="M168" i="14"/>
  <c r="K168" i="14"/>
  <c r="X167" i="14"/>
  <c r="W167" i="14"/>
  <c r="V167" i="14"/>
  <c r="U167" i="14"/>
  <c r="T167" i="14"/>
  <c r="S167" i="14"/>
  <c r="Q167" i="14"/>
  <c r="O167" i="14"/>
  <c r="M167" i="14"/>
  <c r="K167" i="14"/>
  <c r="X166" i="14"/>
  <c r="W166" i="14"/>
  <c r="V166" i="14"/>
  <c r="U166" i="14"/>
  <c r="T166" i="14"/>
  <c r="S166" i="14"/>
  <c r="Q166" i="14"/>
  <c r="O166" i="14"/>
  <c r="M166" i="14"/>
  <c r="K166" i="14"/>
  <c r="X165" i="14"/>
  <c r="W165" i="14"/>
  <c r="V165" i="14"/>
  <c r="U165" i="14"/>
  <c r="T165" i="14"/>
  <c r="S165" i="14"/>
  <c r="Q165" i="14"/>
  <c r="O165" i="14"/>
  <c r="M165" i="14"/>
  <c r="K165" i="14"/>
  <c r="X164" i="14"/>
  <c r="W164" i="14"/>
  <c r="V164" i="14"/>
  <c r="U164" i="14"/>
  <c r="T164" i="14"/>
  <c r="S164" i="14"/>
  <c r="Q164" i="14"/>
  <c r="O164" i="14"/>
  <c r="M164" i="14"/>
  <c r="K164" i="14"/>
  <c r="X163" i="14"/>
  <c r="W163" i="14"/>
  <c r="V163" i="14"/>
  <c r="U163" i="14"/>
  <c r="T163" i="14"/>
  <c r="S163" i="14"/>
  <c r="Q163" i="14"/>
  <c r="O163" i="14"/>
  <c r="M163" i="14"/>
  <c r="K163" i="14"/>
  <c r="X162" i="14"/>
  <c r="W162" i="14"/>
  <c r="V162" i="14"/>
  <c r="U162" i="14"/>
  <c r="T162" i="14"/>
  <c r="S162" i="14"/>
  <c r="Q162" i="14"/>
  <c r="O162" i="14"/>
  <c r="M162" i="14"/>
  <c r="K162" i="14"/>
  <c r="X161" i="14"/>
  <c r="W161" i="14"/>
  <c r="V161" i="14"/>
  <c r="U161" i="14"/>
  <c r="T161" i="14"/>
  <c r="S161" i="14"/>
  <c r="Q161" i="14"/>
  <c r="O161" i="14"/>
  <c r="M161" i="14"/>
  <c r="K161" i="14"/>
  <c r="X160" i="14"/>
  <c r="W160" i="14"/>
  <c r="V160" i="14"/>
  <c r="U160" i="14"/>
  <c r="T160" i="14"/>
  <c r="S160" i="14"/>
  <c r="Q160" i="14"/>
  <c r="O160" i="14"/>
  <c r="M160" i="14"/>
  <c r="K160" i="14"/>
  <c r="X159" i="14"/>
  <c r="W159" i="14"/>
  <c r="V159" i="14"/>
  <c r="U159" i="14"/>
  <c r="T159" i="14"/>
  <c r="S159" i="14"/>
  <c r="Q159" i="14"/>
  <c r="O159" i="14"/>
  <c r="M159" i="14"/>
  <c r="K159" i="14"/>
  <c r="X158" i="14"/>
  <c r="W158" i="14"/>
  <c r="V158" i="14"/>
  <c r="U158" i="14"/>
  <c r="T158" i="14"/>
  <c r="S158" i="14"/>
  <c r="Q158" i="14"/>
  <c r="O158" i="14"/>
  <c r="M158" i="14"/>
  <c r="K158" i="14"/>
  <c r="X157" i="14"/>
  <c r="W157" i="14"/>
  <c r="V157" i="14"/>
  <c r="U157" i="14"/>
  <c r="T157" i="14"/>
  <c r="S157" i="14"/>
  <c r="Q157" i="14"/>
  <c r="O157" i="14"/>
  <c r="M157" i="14"/>
  <c r="K157" i="14"/>
  <c r="X156" i="14"/>
  <c r="W156" i="14"/>
  <c r="V156" i="14"/>
  <c r="U156" i="14"/>
  <c r="T156" i="14"/>
  <c r="S156" i="14"/>
  <c r="Q156" i="14"/>
  <c r="O156" i="14"/>
  <c r="M156" i="14"/>
  <c r="K156" i="14"/>
  <c r="X155" i="14"/>
  <c r="W155" i="14"/>
  <c r="V155" i="14"/>
  <c r="U155" i="14"/>
  <c r="T155" i="14"/>
  <c r="S155" i="14"/>
  <c r="Q155" i="14"/>
  <c r="O155" i="14"/>
  <c r="M155" i="14"/>
  <c r="K155" i="14"/>
  <c r="X154" i="14"/>
  <c r="W154" i="14"/>
  <c r="V154" i="14"/>
  <c r="U154" i="14"/>
  <c r="T154" i="14"/>
  <c r="S154" i="14"/>
  <c r="Q154" i="14"/>
  <c r="O154" i="14"/>
  <c r="M154" i="14"/>
  <c r="K154" i="14"/>
  <c r="X153" i="14"/>
  <c r="W153" i="14"/>
  <c r="V153" i="14"/>
  <c r="U153" i="14"/>
  <c r="T153" i="14"/>
  <c r="S153" i="14"/>
  <c r="Q153" i="14"/>
  <c r="O153" i="14"/>
  <c r="M153" i="14"/>
  <c r="K153" i="14"/>
  <c r="X152" i="14"/>
  <c r="W152" i="14"/>
  <c r="V152" i="14"/>
  <c r="U152" i="14"/>
  <c r="T152" i="14"/>
  <c r="S152" i="14"/>
  <c r="Q152" i="14"/>
  <c r="O152" i="14"/>
  <c r="M152" i="14"/>
  <c r="K152" i="14"/>
  <c r="X151" i="14"/>
  <c r="W151" i="14"/>
  <c r="V151" i="14"/>
  <c r="U151" i="14"/>
  <c r="T151" i="14"/>
  <c r="S151" i="14"/>
  <c r="Q151" i="14"/>
  <c r="O151" i="14"/>
  <c r="M151" i="14"/>
  <c r="K151" i="14"/>
  <c r="X150" i="14"/>
  <c r="W150" i="14"/>
  <c r="V150" i="14"/>
  <c r="U150" i="14"/>
  <c r="T150" i="14"/>
  <c r="S150" i="14"/>
  <c r="Q150" i="14"/>
  <c r="O150" i="14"/>
  <c r="M150" i="14"/>
  <c r="K150" i="14"/>
  <c r="X149" i="14"/>
  <c r="W149" i="14"/>
  <c r="V149" i="14"/>
  <c r="U149" i="14"/>
  <c r="T149" i="14"/>
  <c r="S149" i="14"/>
  <c r="Q149" i="14"/>
  <c r="O149" i="14"/>
  <c r="M149" i="14"/>
  <c r="K149" i="14"/>
  <c r="X148" i="14"/>
  <c r="W148" i="14"/>
  <c r="V148" i="14"/>
  <c r="U148" i="14"/>
  <c r="T148" i="14"/>
  <c r="S148" i="14"/>
  <c r="Q148" i="14"/>
  <c r="O148" i="14"/>
  <c r="M148" i="14"/>
  <c r="K148" i="14"/>
  <c r="X147" i="14"/>
  <c r="W147" i="14"/>
  <c r="V147" i="14"/>
  <c r="U147" i="14"/>
  <c r="T147" i="14"/>
  <c r="S147" i="14"/>
  <c r="Q147" i="14"/>
  <c r="O147" i="14"/>
  <c r="M147" i="14"/>
  <c r="K147" i="14"/>
  <c r="X146" i="14"/>
  <c r="W146" i="14"/>
  <c r="V146" i="14"/>
  <c r="U146" i="14"/>
  <c r="T146" i="14"/>
  <c r="S146" i="14"/>
  <c r="Q146" i="14"/>
  <c r="O146" i="14"/>
  <c r="M146" i="14"/>
  <c r="K146" i="14"/>
  <c r="X145" i="14"/>
  <c r="W145" i="14"/>
  <c r="V145" i="14"/>
  <c r="U145" i="14"/>
  <c r="T145" i="14"/>
  <c r="S145" i="14"/>
  <c r="Q145" i="14"/>
  <c r="O145" i="14"/>
  <c r="M145" i="14"/>
  <c r="K145" i="14"/>
  <c r="X144" i="14"/>
  <c r="W144" i="14"/>
  <c r="V144" i="14"/>
  <c r="U144" i="14"/>
  <c r="T144" i="14"/>
  <c r="S144" i="14"/>
  <c r="Q144" i="14"/>
  <c r="O144" i="14"/>
  <c r="M144" i="14"/>
  <c r="K144" i="14"/>
  <c r="X143" i="14"/>
  <c r="W143" i="14"/>
  <c r="V143" i="14"/>
  <c r="U143" i="14"/>
  <c r="T143" i="14"/>
  <c r="S143" i="14"/>
  <c r="Q143" i="14"/>
  <c r="O143" i="14"/>
  <c r="M143" i="14"/>
  <c r="K143" i="14"/>
  <c r="X142" i="14"/>
  <c r="W142" i="14"/>
  <c r="V142" i="14"/>
  <c r="U142" i="14"/>
  <c r="T142" i="14"/>
  <c r="S142" i="14"/>
  <c r="Q142" i="14"/>
  <c r="O142" i="14"/>
  <c r="M142" i="14"/>
  <c r="K142" i="14"/>
  <c r="X141" i="14"/>
  <c r="W141" i="14"/>
  <c r="V141" i="14"/>
  <c r="U141" i="14"/>
  <c r="T141" i="14"/>
  <c r="S141" i="14"/>
  <c r="Q141" i="14"/>
  <c r="O141" i="14"/>
  <c r="M141" i="14"/>
  <c r="K141" i="14"/>
  <c r="X140" i="14"/>
  <c r="W140" i="14"/>
  <c r="V140" i="14"/>
  <c r="U140" i="14"/>
  <c r="T140" i="14"/>
  <c r="S140" i="14"/>
  <c r="Q140" i="14"/>
  <c r="O140" i="14"/>
  <c r="M140" i="14"/>
  <c r="K140" i="14"/>
  <c r="X139" i="14"/>
  <c r="W139" i="14"/>
  <c r="V139" i="14"/>
  <c r="U139" i="14"/>
  <c r="T139" i="14"/>
  <c r="S139" i="14"/>
  <c r="Q139" i="14"/>
  <c r="O139" i="14"/>
  <c r="M139" i="14"/>
  <c r="K139" i="14"/>
  <c r="X138" i="14"/>
  <c r="W138" i="14"/>
  <c r="V138" i="14"/>
  <c r="U138" i="14"/>
  <c r="T138" i="14"/>
  <c r="S138" i="14"/>
  <c r="Q138" i="14"/>
  <c r="O138" i="14"/>
  <c r="M138" i="14"/>
  <c r="K138" i="14"/>
  <c r="X137" i="14"/>
  <c r="W137" i="14"/>
  <c r="V137" i="14"/>
  <c r="U137" i="14"/>
  <c r="T137" i="14"/>
  <c r="S137" i="14"/>
  <c r="Q137" i="14"/>
  <c r="O137" i="14"/>
  <c r="M137" i="14"/>
  <c r="K137" i="14"/>
  <c r="X136" i="14"/>
  <c r="W136" i="14"/>
  <c r="V136" i="14"/>
  <c r="U136" i="14"/>
  <c r="T136" i="14"/>
  <c r="S136" i="14"/>
  <c r="Q136" i="14"/>
  <c r="O136" i="14"/>
  <c r="M136" i="14"/>
  <c r="K136" i="14"/>
  <c r="X135" i="14"/>
  <c r="W135" i="14"/>
  <c r="V135" i="14"/>
  <c r="U135" i="14"/>
  <c r="T135" i="14"/>
  <c r="S135" i="14"/>
  <c r="Q135" i="14"/>
  <c r="O135" i="14"/>
  <c r="M135" i="14"/>
  <c r="K135" i="14"/>
  <c r="X134" i="14"/>
  <c r="W134" i="14"/>
  <c r="V134" i="14"/>
  <c r="U134" i="14"/>
  <c r="T134" i="14"/>
  <c r="S134" i="14"/>
  <c r="Q134" i="14"/>
  <c r="O134" i="14"/>
  <c r="M134" i="14"/>
  <c r="K134" i="14"/>
  <c r="X133" i="14"/>
  <c r="W133" i="14"/>
  <c r="V133" i="14"/>
  <c r="U133" i="14"/>
  <c r="T133" i="14"/>
  <c r="S133" i="14"/>
  <c r="Q133" i="14"/>
  <c r="O133" i="14"/>
  <c r="M133" i="14"/>
  <c r="K133" i="14"/>
  <c r="X132" i="14"/>
  <c r="W132" i="14"/>
  <c r="V132" i="14"/>
  <c r="U132" i="14"/>
  <c r="T132" i="14"/>
  <c r="S132" i="14"/>
  <c r="Q132" i="14"/>
  <c r="O132" i="14"/>
  <c r="M132" i="14"/>
  <c r="K132" i="14"/>
  <c r="X131" i="14"/>
  <c r="W131" i="14"/>
  <c r="V131" i="14"/>
  <c r="U131" i="14"/>
  <c r="T131" i="14"/>
  <c r="S131" i="14"/>
  <c r="Q131" i="14"/>
  <c r="O131" i="14"/>
  <c r="M131" i="14"/>
  <c r="K131" i="14"/>
  <c r="X130" i="14"/>
  <c r="W130" i="14"/>
  <c r="V130" i="14"/>
  <c r="U130" i="14"/>
  <c r="T130" i="14"/>
  <c r="S130" i="14"/>
  <c r="Q130" i="14"/>
  <c r="O130" i="14"/>
  <c r="M130" i="14"/>
  <c r="K130" i="14"/>
  <c r="X129" i="14"/>
  <c r="W129" i="14"/>
  <c r="V129" i="14"/>
  <c r="U129" i="14"/>
  <c r="T129" i="14"/>
  <c r="S129" i="14"/>
  <c r="Q129" i="14"/>
  <c r="O129" i="14"/>
  <c r="M129" i="14"/>
  <c r="K129" i="14"/>
  <c r="X128" i="14"/>
  <c r="W128" i="14"/>
  <c r="V128" i="14"/>
  <c r="U128" i="14"/>
  <c r="T128" i="14"/>
  <c r="S128" i="14"/>
  <c r="Q128" i="14"/>
  <c r="O128" i="14"/>
  <c r="M128" i="14"/>
  <c r="K128" i="14"/>
  <c r="X127" i="14"/>
  <c r="W127" i="14"/>
  <c r="V127" i="14"/>
  <c r="U127" i="14"/>
  <c r="T127" i="14"/>
  <c r="S127" i="14"/>
  <c r="Q127" i="14"/>
  <c r="O127" i="14"/>
  <c r="M127" i="14"/>
  <c r="K127" i="14"/>
  <c r="X126" i="14"/>
  <c r="W126" i="14"/>
  <c r="V126" i="14"/>
  <c r="U126" i="14"/>
  <c r="T126" i="14"/>
  <c r="S126" i="14"/>
  <c r="Q126" i="14"/>
  <c r="O126" i="14"/>
  <c r="M126" i="14"/>
  <c r="K126" i="14"/>
  <c r="X125" i="14"/>
  <c r="W125" i="14"/>
  <c r="V125" i="14"/>
  <c r="U125" i="14"/>
  <c r="T125" i="14"/>
  <c r="S125" i="14"/>
  <c r="Q125" i="14"/>
  <c r="O125" i="14"/>
  <c r="M125" i="14"/>
  <c r="K125" i="14"/>
  <c r="X124" i="14"/>
  <c r="W124" i="14"/>
  <c r="V124" i="14"/>
  <c r="U124" i="14"/>
  <c r="T124" i="14"/>
  <c r="S124" i="14"/>
  <c r="Q124" i="14"/>
  <c r="O124" i="14"/>
  <c r="M124" i="14"/>
  <c r="K124" i="14"/>
  <c r="X123" i="14"/>
  <c r="W123" i="14"/>
  <c r="V123" i="14"/>
  <c r="U123" i="14"/>
  <c r="T123" i="14"/>
  <c r="S123" i="14"/>
  <c r="Q123" i="14"/>
  <c r="O123" i="14"/>
  <c r="M123" i="14"/>
  <c r="K123" i="14"/>
  <c r="X122" i="14"/>
  <c r="W122" i="14"/>
  <c r="V122" i="14"/>
  <c r="U122" i="14"/>
  <c r="T122" i="14"/>
  <c r="S122" i="14"/>
  <c r="Q122" i="14"/>
  <c r="O122" i="14"/>
  <c r="M122" i="14"/>
  <c r="K122" i="14"/>
  <c r="X121" i="14"/>
  <c r="W121" i="14"/>
  <c r="V121" i="14"/>
  <c r="U121" i="14"/>
  <c r="T121" i="14"/>
  <c r="S121" i="14"/>
  <c r="Q121" i="14"/>
  <c r="O121" i="14"/>
  <c r="M121" i="14"/>
  <c r="K121" i="14"/>
  <c r="X120" i="14"/>
  <c r="W120" i="14"/>
  <c r="V120" i="14"/>
  <c r="U120" i="14"/>
  <c r="T120" i="14"/>
  <c r="S120" i="14"/>
  <c r="Q120" i="14"/>
  <c r="O120" i="14"/>
  <c r="M120" i="14"/>
  <c r="K120" i="14"/>
  <c r="X119" i="14"/>
  <c r="W119" i="14"/>
  <c r="V119" i="14"/>
  <c r="U119" i="14"/>
  <c r="T119" i="14"/>
  <c r="S119" i="14"/>
  <c r="Q119" i="14"/>
  <c r="O119" i="14"/>
  <c r="M119" i="14"/>
  <c r="K119" i="14"/>
  <c r="X118" i="14"/>
  <c r="W118" i="14"/>
  <c r="V118" i="14"/>
  <c r="U118" i="14"/>
  <c r="T118" i="14"/>
  <c r="S118" i="14"/>
  <c r="Q118" i="14"/>
  <c r="O118" i="14"/>
  <c r="M118" i="14"/>
  <c r="K118" i="14"/>
  <c r="X117" i="14"/>
  <c r="W117" i="14"/>
  <c r="V117" i="14"/>
  <c r="U117" i="14"/>
  <c r="T117" i="14"/>
  <c r="S117" i="14"/>
  <c r="Q117" i="14"/>
  <c r="O117" i="14"/>
  <c r="M117" i="14"/>
  <c r="K117" i="14"/>
  <c r="X116" i="14"/>
  <c r="W116" i="14"/>
  <c r="V116" i="14"/>
  <c r="U116" i="14"/>
  <c r="T116" i="14"/>
  <c r="S116" i="14"/>
  <c r="Q116" i="14"/>
  <c r="O116" i="14"/>
  <c r="M116" i="14"/>
  <c r="K116" i="14"/>
  <c r="X115" i="14"/>
  <c r="W115" i="14"/>
  <c r="V115" i="14"/>
  <c r="U115" i="14"/>
  <c r="T115" i="14"/>
  <c r="S115" i="14"/>
  <c r="Q115" i="14"/>
  <c r="O115" i="14"/>
  <c r="M115" i="14"/>
  <c r="K115" i="14"/>
  <c r="X114" i="14"/>
  <c r="W114" i="14"/>
  <c r="V114" i="14"/>
  <c r="U114" i="14"/>
  <c r="T114" i="14"/>
  <c r="S114" i="14"/>
  <c r="Q114" i="14"/>
  <c r="O114" i="14"/>
  <c r="M114" i="14"/>
  <c r="K114" i="14"/>
  <c r="X113" i="14"/>
  <c r="W113" i="14"/>
  <c r="V113" i="14"/>
  <c r="U113" i="14"/>
  <c r="T113" i="14"/>
  <c r="S113" i="14"/>
  <c r="Q113" i="14"/>
  <c r="O113" i="14"/>
  <c r="M113" i="14"/>
  <c r="K113" i="14"/>
  <c r="X112" i="14"/>
  <c r="W112" i="14"/>
  <c r="V112" i="14"/>
  <c r="U112" i="14"/>
  <c r="T112" i="14"/>
  <c r="S112" i="14"/>
  <c r="Q112" i="14"/>
  <c r="O112" i="14"/>
  <c r="M112" i="14"/>
  <c r="K112" i="14"/>
  <c r="X111" i="14"/>
  <c r="W111" i="14"/>
  <c r="V111" i="14"/>
  <c r="U111" i="14"/>
  <c r="T111" i="14"/>
  <c r="S111" i="14"/>
  <c r="Q111" i="14"/>
  <c r="O111" i="14"/>
  <c r="M111" i="14"/>
  <c r="K111" i="14"/>
  <c r="X110" i="14"/>
  <c r="W110" i="14"/>
  <c r="V110" i="14"/>
  <c r="U110" i="14"/>
  <c r="T110" i="14"/>
  <c r="S110" i="14"/>
  <c r="Q110" i="14"/>
  <c r="O110" i="14"/>
  <c r="M110" i="14"/>
  <c r="K110" i="14"/>
  <c r="X109" i="14"/>
  <c r="W109" i="14"/>
  <c r="V109" i="14"/>
  <c r="U109" i="14"/>
  <c r="T109" i="14"/>
  <c r="S109" i="14"/>
  <c r="Q109" i="14"/>
  <c r="O109" i="14"/>
  <c r="M109" i="14"/>
  <c r="K109" i="14"/>
  <c r="X108" i="14"/>
  <c r="W108" i="14"/>
  <c r="V108" i="14"/>
  <c r="U108" i="14"/>
  <c r="T108" i="14"/>
  <c r="S108" i="14"/>
  <c r="Q108" i="14"/>
  <c r="O108" i="14"/>
  <c r="M108" i="14"/>
  <c r="K108" i="14"/>
  <c r="X107" i="14"/>
  <c r="W107" i="14"/>
  <c r="V107" i="14"/>
  <c r="U107" i="14"/>
  <c r="T107" i="14"/>
  <c r="S107" i="14"/>
  <c r="Q107" i="14"/>
  <c r="O107" i="14"/>
  <c r="M107" i="14"/>
  <c r="K107" i="14"/>
  <c r="X106" i="14"/>
  <c r="W106" i="14"/>
  <c r="V106" i="14"/>
  <c r="U106" i="14"/>
  <c r="T106" i="14"/>
  <c r="S106" i="14"/>
  <c r="Q106" i="14"/>
  <c r="O106" i="14"/>
  <c r="M106" i="14"/>
  <c r="K106" i="14"/>
  <c r="X105" i="14"/>
  <c r="W105" i="14"/>
  <c r="V105" i="14"/>
  <c r="U105" i="14"/>
  <c r="T105" i="14"/>
  <c r="S105" i="14"/>
  <c r="Q105" i="14"/>
  <c r="O105" i="14"/>
  <c r="M105" i="14"/>
  <c r="K105" i="14"/>
  <c r="X104" i="14"/>
  <c r="W104" i="14"/>
  <c r="V104" i="14"/>
  <c r="U104" i="14"/>
  <c r="T104" i="14"/>
  <c r="S104" i="14"/>
  <c r="Q104" i="14"/>
  <c r="O104" i="14"/>
  <c r="M104" i="14"/>
  <c r="K104" i="14"/>
  <c r="X103" i="14"/>
  <c r="W103" i="14"/>
  <c r="V103" i="14"/>
  <c r="U103" i="14"/>
  <c r="T103" i="14"/>
  <c r="S103" i="14"/>
  <c r="Q103" i="14"/>
  <c r="O103" i="14"/>
  <c r="M103" i="14"/>
  <c r="K103" i="14"/>
  <c r="X102" i="14"/>
  <c r="W102" i="14"/>
  <c r="V102" i="14"/>
  <c r="U102" i="14"/>
  <c r="T102" i="14"/>
  <c r="S102" i="14"/>
  <c r="Q102" i="14"/>
  <c r="O102" i="14"/>
  <c r="M102" i="14"/>
  <c r="K102" i="14"/>
  <c r="X101" i="14"/>
  <c r="W101" i="14"/>
  <c r="V101" i="14"/>
  <c r="U101" i="14"/>
  <c r="T101" i="14"/>
  <c r="S101" i="14"/>
  <c r="Q101" i="14"/>
  <c r="O101" i="14"/>
  <c r="M101" i="14"/>
  <c r="K101" i="14"/>
  <c r="X100" i="14"/>
  <c r="W100" i="14"/>
  <c r="V100" i="14"/>
  <c r="U100" i="14"/>
  <c r="T100" i="14"/>
  <c r="S100" i="14"/>
  <c r="Q100" i="14"/>
  <c r="O100" i="14"/>
  <c r="M100" i="14"/>
  <c r="K100" i="14"/>
  <c r="X99" i="14"/>
  <c r="W99" i="14"/>
  <c r="V99" i="14"/>
  <c r="U99" i="14"/>
  <c r="T99" i="14"/>
  <c r="S99" i="14"/>
  <c r="Q99" i="14"/>
  <c r="O99" i="14"/>
  <c r="M99" i="14"/>
  <c r="K99" i="14"/>
  <c r="X98" i="14"/>
  <c r="W98" i="14"/>
  <c r="V98" i="14"/>
  <c r="U98" i="14"/>
  <c r="T98" i="14"/>
  <c r="S98" i="14"/>
  <c r="Q98" i="14"/>
  <c r="O98" i="14"/>
  <c r="M98" i="14"/>
  <c r="K98" i="14"/>
  <c r="X97" i="14"/>
  <c r="W97" i="14"/>
  <c r="V97" i="14"/>
  <c r="U97" i="14"/>
  <c r="T97" i="14"/>
  <c r="S97" i="14"/>
  <c r="Q97" i="14"/>
  <c r="O97" i="14"/>
  <c r="M97" i="14"/>
  <c r="K97" i="14"/>
  <c r="X96" i="14"/>
  <c r="W96" i="14"/>
  <c r="V96" i="14"/>
  <c r="U96" i="14"/>
  <c r="T96" i="14"/>
  <c r="S96" i="14"/>
  <c r="Q96" i="14"/>
  <c r="O96" i="14"/>
  <c r="M96" i="14"/>
  <c r="K96" i="14"/>
  <c r="X95" i="14"/>
  <c r="W95" i="14"/>
  <c r="V95" i="14"/>
  <c r="U95" i="14"/>
  <c r="T95" i="14"/>
  <c r="S95" i="14"/>
  <c r="Q95" i="14"/>
  <c r="O95" i="14"/>
  <c r="M95" i="14"/>
  <c r="K95" i="14"/>
  <c r="X94" i="14"/>
  <c r="W94" i="14"/>
  <c r="V94" i="14"/>
  <c r="U94" i="14"/>
  <c r="T94" i="14"/>
  <c r="S94" i="14"/>
  <c r="Q94" i="14"/>
  <c r="O94" i="14"/>
  <c r="M94" i="14"/>
  <c r="K94" i="14"/>
  <c r="X93" i="14"/>
  <c r="W93" i="14"/>
  <c r="V93" i="14"/>
  <c r="U93" i="14"/>
  <c r="T93" i="14"/>
  <c r="S93" i="14"/>
  <c r="Q93" i="14"/>
  <c r="O93" i="14"/>
  <c r="M93" i="14"/>
  <c r="K93" i="14"/>
  <c r="X92" i="14"/>
  <c r="W92" i="14"/>
  <c r="V92" i="14"/>
  <c r="U92" i="14"/>
  <c r="T92" i="14"/>
  <c r="S92" i="14"/>
  <c r="Q92" i="14"/>
  <c r="O92" i="14"/>
  <c r="M92" i="14"/>
  <c r="K92" i="14"/>
  <c r="X91" i="14"/>
  <c r="W91" i="14"/>
  <c r="V91" i="14"/>
  <c r="U91" i="14"/>
  <c r="T91" i="14"/>
  <c r="S91" i="14"/>
  <c r="Q91" i="14"/>
  <c r="O91" i="14"/>
  <c r="M91" i="14"/>
  <c r="K91" i="14"/>
  <c r="X90" i="14"/>
  <c r="W90" i="14"/>
  <c r="V90" i="14"/>
  <c r="U90" i="14"/>
  <c r="T90" i="14"/>
  <c r="S90" i="14"/>
  <c r="Q90" i="14"/>
  <c r="O90" i="14"/>
  <c r="M90" i="14"/>
  <c r="K90" i="14"/>
  <c r="X89" i="14"/>
  <c r="W89" i="14"/>
  <c r="V89" i="14"/>
  <c r="U89" i="14"/>
  <c r="T89" i="14"/>
  <c r="S89" i="14"/>
  <c r="Q89" i="14"/>
  <c r="O89" i="14"/>
  <c r="M89" i="14"/>
  <c r="K89" i="14"/>
  <c r="X88" i="14"/>
  <c r="W88" i="14"/>
  <c r="V88" i="14"/>
  <c r="U88" i="14"/>
  <c r="T88" i="14"/>
  <c r="S88" i="14"/>
  <c r="Q88" i="14"/>
  <c r="O88" i="14"/>
  <c r="M88" i="14"/>
  <c r="K88" i="14"/>
  <c r="X87" i="14"/>
  <c r="W87" i="14"/>
  <c r="V87" i="14"/>
  <c r="U87" i="14"/>
  <c r="T87" i="14"/>
  <c r="S87" i="14"/>
  <c r="Q87" i="14"/>
  <c r="O87" i="14"/>
  <c r="M87" i="14"/>
  <c r="K87" i="14"/>
  <c r="X86" i="14"/>
  <c r="W86" i="14"/>
  <c r="V86" i="14"/>
  <c r="U86" i="14"/>
  <c r="T86" i="14"/>
  <c r="S86" i="14"/>
  <c r="Q86" i="14"/>
  <c r="O86" i="14"/>
  <c r="M86" i="14"/>
  <c r="K86" i="14"/>
  <c r="X85" i="14"/>
  <c r="W85" i="14"/>
  <c r="V85" i="14"/>
  <c r="U85" i="14"/>
  <c r="T85" i="14"/>
  <c r="S85" i="14"/>
  <c r="Q85" i="14"/>
  <c r="O85" i="14"/>
  <c r="M85" i="14"/>
  <c r="K85" i="14"/>
  <c r="X84" i="14"/>
  <c r="W84" i="14"/>
  <c r="V84" i="14"/>
  <c r="U84" i="14"/>
  <c r="T84" i="14"/>
  <c r="S84" i="14"/>
  <c r="Q84" i="14"/>
  <c r="O84" i="14"/>
  <c r="M84" i="14"/>
  <c r="K84" i="14"/>
  <c r="X83" i="14"/>
  <c r="W83" i="14"/>
  <c r="V83" i="14"/>
  <c r="U83" i="14"/>
  <c r="T83" i="14"/>
  <c r="S83" i="14"/>
  <c r="Q83" i="14"/>
  <c r="O83" i="14"/>
  <c r="M83" i="14"/>
  <c r="K83" i="14"/>
  <c r="X82" i="14"/>
  <c r="W82" i="14"/>
  <c r="V82" i="14"/>
  <c r="U82" i="14"/>
  <c r="T82" i="14"/>
  <c r="S82" i="14"/>
  <c r="Q82" i="14"/>
  <c r="O82" i="14"/>
  <c r="M82" i="14"/>
  <c r="K82" i="14"/>
  <c r="X81" i="14"/>
  <c r="W81" i="14"/>
  <c r="V81" i="14"/>
  <c r="U81" i="14"/>
  <c r="T81" i="14"/>
  <c r="S81" i="14"/>
  <c r="Q81" i="14"/>
  <c r="O81" i="14"/>
  <c r="M81" i="14"/>
  <c r="K81" i="14"/>
  <c r="X80" i="14"/>
  <c r="W80" i="14"/>
  <c r="V80" i="14"/>
  <c r="U80" i="14"/>
  <c r="T80" i="14"/>
  <c r="S80" i="14"/>
  <c r="Q80" i="14"/>
  <c r="O80" i="14"/>
  <c r="M80" i="14"/>
  <c r="K80" i="14"/>
  <c r="X79" i="14"/>
  <c r="W79" i="14"/>
  <c r="V79" i="14"/>
  <c r="U79" i="14"/>
  <c r="T79" i="14"/>
  <c r="S79" i="14"/>
  <c r="Q79" i="14"/>
  <c r="O79" i="14"/>
  <c r="M79" i="14"/>
  <c r="K79" i="14"/>
  <c r="X78" i="14"/>
  <c r="W78" i="14"/>
  <c r="V78" i="14"/>
  <c r="U78" i="14"/>
  <c r="T78" i="14"/>
  <c r="S78" i="14"/>
  <c r="Q78" i="14"/>
  <c r="O78" i="14"/>
  <c r="M78" i="14"/>
  <c r="K78" i="14"/>
  <c r="X77" i="14"/>
  <c r="W77" i="14"/>
  <c r="V77" i="14"/>
  <c r="U77" i="14"/>
  <c r="T77" i="14"/>
  <c r="S77" i="14"/>
  <c r="Q77" i="14"/>
  <c r="O77" i="14"/>
  <c r="M77" i="14"/>
  <c r="K77" i="14"/>
  <c r="X76" i="14"/>
  <c r="W76" i="14"/>
  <c r="V76" i="14"/>
  <c r="U76" i="14"/>
  <c r="T76" i="14"/>
  <c r="S76" i="14"/>
  <c r="Q76" i="14"/>
  <c r="O76" i="14"/>
  <c r="M76" i="14"/>
  <c r="K76" i="14"/>
  <c r="X75" i="14"/>
  <c r="W75" i="14"/>
  <c r="V75" i="14"/>
  <c r="U75" i="14"/>
  <c r="T75" i="14"/>
  <c r="S75" i="14"/>
  <c r="Q75" i="14"/>
  <c r="O75" i="14"/>
  <c r="M75" i="14"/>
  <c r="K75" i="14"/>
  <c r="X74" i="14"/>
  <c r="W74" i="14"/>
  <c r="V74" i="14"/>
  <c r="U74" i="14"/>
  <c r="T74" i="14"/>
  <c r="S74" i="14"/>
  <c r="Q74" i="14"/>
  <c r="O74" i="14"/>
  <c r="M74" i="14"/>
  <c r="K74" i="14"/>
  <c r="X73" i="14"/>
  <c r="W73" i="14"/>
  <c r="V73" i="14"/>
  <c r="U73" i="14"/>
  <c r="T73" i="14"/>
  <c r="S73" i="14"/>
  <c r="Q73" i="14"/>
  <c r="O73" i="14"/>
  <c r="M73" i="14"/>
  <c r="K73" i="14"/>
  <c r="X72" i="14"/>
  <c r="W72" i="14"/>
  <c r="V72" i="14"/>
  <c r="U72" i="14"/>
  <c r="T72" i="14"/>
  <c r="S72" i="14"/>
  <c r="Q72" i="14"/>
  <c r="O72" i="14"/>
  <c r="M72" i="14"/>
  <c r="K72" i="14"/>
  <c r="X71" i="14"/>
  <c r="W71" i="14"/>
  <c r="V71" i="14"/>
  <c r="U71" i="14"/>
  <c r="T71" i="14"/>
  <c r="S71" i="14"/>
  <c r="Q71" i="14"/>
  <c r="O71" i="14"/>
  <c r="M71" i="14"/>
  <c r="K71" i="14"/>
  <c r="X70" i="14"/>
  <c r="W70" i="14"/>
  <c r="V70" i="14"/>
  <c r="U70" i="14"/>
  <c r="T70" i="14"/>
  <c r="S70" i="14"/>
  <c r="Q70" i="14"/>
  <c r="O70" i="14"/>
  <c r="M70" i="14"/>
  <c r="K70" i="14"/>
  <c r="X69" i="14"/>
  <c r="W69" i="14"/>
  <c r="V69" i="14"/>
  <c r="U69" i="14"/>
  <c r="T69" i="14"/>
  <c r="S69" i="14"/>
  <c r="Q69" i="14"/>
  <c r="O69" i="14"/>
  <c r="M69" i="14"/>
  <c r="K69" i="14"/>
  <c r="X68" i="14"/>
  <c r="W68" i="14"/>
  <c r="V68" i="14"/>
  <c r="U68" i="14"/>
  <c r="T68" i="14"/>
  <c r="S68" i="14"/>
  <c r="Q68" i="14"/>
  <c r="O68" i="14"/>
  <c r="M68" i="14"/>
  <c r="K68" i="14"/>
  <c r="X67" i="14"/>
  <c r="W67" i="14"/>
  <c r="V67" i="14"/>
  <c r="U67" i="14"/>
  <c r="T67" i="14"/>
  <c r="S67" i="14"/>
  <c r="Q67" i="14"/>
  <c r="O67" i="14"/>
  <c r="M67" i="14"/>
  <c r="K67" i="14"/>
  <c r="X66" i="14"/>
  <c r="W66" i="14"/>
  <c r="V66" i="14"/>
  <c r="U66" i="14"/>
  <c r="T66" i="14"/>
  <c r="S66" i="14"/>
  <c r="Q66" i="14"/>
  <c r="O66" i="14"/>
  <c r="M66" i="14"/>
  <c r="K66" i="14"/>
  <c r="X65" i="14"/>
  <c r="W65" i="14"/>
  <c r="V65" i="14"/>
  <c r="U65" i="14"/>
  <c r="T65" i="14"/>
  <c r="S65" i="14"/>
  <c r="Q65" i="14"/>
  <c r="O65" i="14"/>
  <c r="M65" i="14"/>
  <c r="K65" i="14"/>
  <c r="X64" i="14"/>
  <c r="W64" i="14"/>
  <c r="V64" i="14"/>
  <c r="U64" i="14"/>
  <c r="T64" i="14"/>
  <c r="S64" i="14"/>
  <c r="Q64" i="14"/>
  <c r="O64" i="14"/>
  <c r="M64" i="14"/>
  <c r="K64" i="14"/>
  <c r="X63" i="14"/>
  <c r="W63" i="14"/>
  <c r="V63" i="14"/>
  <c r="U63" i="14"/>
  <c r="T63" i="14"/>
  <c r="S63" i="14"/>
  <c r="Q63" i="14"/>
  <c r="O63" i="14"/>
  <c r="M63" i="14"/>
  <c r="K63" i="14"/>
  <c r="X62" i="14"/>
  <c r="W62" i="14"/>
  <c r="V62" i="14"/>
  <c r="U62" i="14"/>
  <c r="T62" i="14"/>
  <c r="S62" i="14"/>
  <c r="Q62" i="14"/>
  <c r="O62" i="14"/>
  <c r="M62" i="14"/>
  <c r="K62" i="14"/>
  <c r="X61" i="14"/>
  <c r="W61" i="14"/>
  <c r="V61" i="14"/>
  <c r="U61" i="14"/>
  <c r="T61" i="14"/>
  <c r="S61" i="14"/>
  <c r="Q61" i="14"/>
  <c r="O61" i="14"/>
  <c r="M61" i="14"/>
  <c r="K61" i="14"/>
  <c r="X60" i="14"/>
  <c r="W60" i="14"/>
  <c r="V60" i="14"/>
  <c r="U60" i="14"/>
  <c r="T60" i="14"/>
  <c r="S60" i="14"/>
  <c r="Q60" i="14"/>
  <c r="O60" i="14"/>
  <c r="M60" i="14"/>
  <c r="K60" i="14"/>
  <c r="X59" i="14"/>
  <c r="W59" i="14"/>
  <c r="V59" i="14"/>
  <c r="U59" i="14"/>
  <c r="T59" i="14"/>
  <c r="S59" i="14"/>
  <c r="Q59" i="14"/>
  <c r="O59" i="14"/>
  <c r="M59" i="14"/>
  <c r="K59" i="14"/>
  <c r="X58" i="14"/>
  <c r="W58" i="14"/>
  <c r="V58" i="14"/>
  <c r="U58" i="14"/>
  <c r="T58" i="14"/>
  <c r="S58" i="14"/>
  <c r="Q58" i="14"/>
  <c r="O58" i="14"/>
  <c r="M58" i="14"/>
  <c r="K58" i="14"/>
  <c r="X57" i="14"/>
  <c r="W57" i="14"/>
  <c r="V57" i="14"/>
  <c r="U57" i="14"/>
  <c r="T57" i="14"/>
  <c r="S57" i="14"/>
  <c r="Q57" i="14"/>
  <c r="O57" i="14"/>
  <c r="M57" i="14"/>
  <c r="K57" i="14"/>
  <c r="X56" i="14"/>
  <c r="W56" i="14"/>
  <c r="V56" i="14"/>
  <c r="U56" i="14"/>
  <c r="T56" i="14"/>
  <c r="S56" i="14"/>
  <c r="Q56" i="14"/>
  <c r="O56" i="14"/>
  <c r="M56" i="14"/>
  <c r="K56" i="14"/>
  <c r="X55" i="14"/>
  <c r="W55" i="14"/>
  <c r="V55" i="14"/>
  <c r="U55" i="14"/>
  <c r="T55" i="14"/>
  <c r="S55" i="14"/>
  <c r="Q55" i="14"/>
  <c r="O55" i="14"/>
  <c r="M55" i="14"/>
  <c r="K55" i="14"/>
  <c r="X54" i="14"/>
  <c r="W54" i="14"/>
  <c r="V54" i="14"/>
  <c r="U54" i="14"/>
  <c r="T54" i="14"/>
  <c r="S54" i="14"/>
  <c r="Q54" i="14"/>
  <c r="O54" i="14"/>
  <c r="M54" i="14"/>
  <c r="K54" i="14"/>
  <c r="X53" i="14"/>
  <c r="W53" i="14"/>
  <c r="V53" i="14"/>
  <c r="U53" i="14"/>
  <c r="T53" i="14"/>
  <c r="S53" i="14"/>
  <c r="Q53" i="14"/>
  <c r="O53" i="14"/>
  <c r="M53" i="14"/>
  <c r="K53" i="14"/>
  <c r="X52" i="14"/>
  <c r="W52" i="14"/>
  <c r="V52" i="14"/>
  <c r="U52" i="14"/>
  <c r="T52" i="14"/>
  <c r="S52" i="14"/>
  <c r="Q52" i="14"/>
  <c r="O52" i="14"/>
  <c r="M52" i="14"/>
  <c r="K52" i="14"/>
  <c r="X51" i="14"/>
  <c r="W51" i="14"/>
  <c r="V51" i="14"/>
  <c r="U51" i="14"/>
  <c r="T51" i="14"/>
  <c r="S51" i="14"/>
  <c r="Q51" i="14"/>
  <c r="O51" i="14"/>
  <c r="M51" i="14"/>
  <c r="K51" i="14"/>
  <c r="X50" i="14"/>
  <c r="W50" i="14"/>
  <c r="V50" i="14"/>
  <c r="U50" i="14"/>
  <c r="T50" i="14"/>
  <c r="S50" i="14"/>
  <c r="Q50" i="14"/>
  <c r="O50" i="14"/>
  <c r="M50" i="14"/>
  <c r="K50" i="14"/>
  <c r="X49" i="14"/>
  <c r="W49" i="14"/>
  <c r="V49" i="14"/>
  <c r="U49" i="14"/>
  <c r="T49" i="14"/>
  <c r="S49" i="14"/>
  <c r="Q49" i="14"/>
  <c r="O49" i="14"/>
  <c r="M49" i="14"/>
  <c r="K49" i="14"/>
  <c r="X48" i="14"/>
  <c r="W48" i="14"/>
  <c r="V48" i="14"/>
  <c r="U48" i="14"/>
  <c r="T48" i="14"/>
  <c r="S48" i="14"/>
  <c r="Q48" i="14"/>
  <c r="O48" i="14"/>
  <c r="M48" i="14"/>
  <c r="K48" i="14"/>
  <c r="X47" i="14"/>
  <c r="W47" i="14"/>
  <c r="V47" i="14"/>
  <c r="U47" i="14"/>
  <c r="T47" i="14"/>
  <c r="S47" i="14"/>
  <c r="Q47" i="14"/>
  <c r="O47" i="14"/>
  <c r="M47" i="14"/>
  <c r="K47" i="14"/>
  <c r="X46" i="14"/>
  <c r="W46" i="14"/>
  <c r="V46" i="14"/>
  <c r="U46" i="14"/>
  <c r="T46" i="14"/>
  <c r="S46" i="14"/>
  <c r="Q46" i="14"/>
  <c r="O46" i="14"/>
  <c r="M46" i="14"/>
  <c r="K46" i="14"/>
  <c r="X45" i="14"/>
  <c r="W45" i="14"/>
  <c r="V45" i="14"/>
  <c r="U45" i="14"/>
  <c r="T45" i="14"/>
  <c r="S45" i="14"/>
  <c r="Q45" i="14"/>
  <c r="O45" i="14"/>
  <c r="M45" i="14"/>
  <c r="K45" i="14"/>
  <c r="X44" i="14"/>
  <c r="W44" i="14"/>
  <c r="V44" i="14"/>
  <c r="U44" i="14"/>
  <c r="T44" i="14"/>
  <c r="S44" i="14"/>
  <c r="Q44" i="14"/>
  <c r="O44" i="14"/>
  <c r="M44" i="14"/>
  <c r="K44" i="14"/>
  <c r="X43" i="14"/>
  <c r="W43" i="14"/>
  <c r="V43" i="14"/>
  <c r="U43" i="14"/>
  <c r="T43" i="14"/>
  <c r="S43" i="14"/>
  <c r="Q43" i="14"/>
  <c r="O43" i="14"/>
  <c r="M43" i="14"/>
  <c r="K43" i="14"/>
  <c r="X42" i="14"/>
  <c r="W42" i="14"/>
  <c r="V42" i="14"/>
  <c r="U42" i="14"/>
  <c r="T42" i="14"/>
  <c r="S42" i="14"/>
  <c r="Q42" i="14"/>
  <c r="O42" i="14"/>
  <c r="M42" i="14"/>
  <c r="K42" i="14"/>
  <c r="X41" i="14"/>
  <c r="W41" i="14"/>
  <c r="V41" i="14"/>
  <c r="U41" i="14"/>
  <c r="T41" i="14"/>
  <c r="S41" i="14"/>
  <c r="Q41" i="14"/>
  <c r="O41" i="14"/>
  <c r="M41" i="14"/>
  <c r="K41" i="14"/>
  <c r="X40" i="14"/>
  <c r="W40" i="14"/>
  <c r="V40" i="14"/>
  <c r="U40" i="14"/>
  <c r="T40" i="14"/>
  <c r="S40" i="14"/>
  <c r="Q40" i="14"/>
  <c r="O40" i="14"/>
  <c r="M40" i="14"/>
  <c r="K40" i="14"/>
  <c r="X39" i="14"/>
  <c r="W39" i="14"/>
  <c r="V39" i="14"/>
  <c r="U39" i="14"/>
  <c r="T39" i="14"/>
  <c r="S39" i="14"/>
  <c r="Q39" i="14"/>
  <c r="O39" i="14"/>
  <c r="M39" i="14"/>
  <c r="K39" i="14"/>
  <c r="X38" i="14"/>
  <c r="W38" i="14"/>
  <c r="V38" i="14"/>
  <c r="U38" i="14"/>
  <c r="T38" i="14"/>
  <c r="S38" i="14"/>
  <c r="Q38" i="14"/>
  <c r="O38" i="14"/>
  <c r="M38" i="14"/>
  <c r="K38" i="14"/>
  <c r="X37" i="14"/>
  <c r="W37" i="14"/>
  <c r="V37" i="14"/>
  <c r="U37" i="14"/>
  <c r="T37" i="14"/>
  <c r="S37" i="14"/>
  <c r="Q37" i="14"/>
  <c r="O37" i="14"/>
  <c r="M37" i="14"/>
  <c r="K37" i="14"/>
  <c r="X36" i="14"/>
  <c r="W36" i="14"/>
  <c r="V36" i="14"/>
  <c r="U36" i="14"/>
  <c r="T36" i="14"/>
  <c r="S36" i="14"/>
  <c r="Q36" i="14"/>
  <c r="O36" i="14"/>
  <c r="M36" i="14"/>
  <c r="K36" i="14"/>
  <c r="X35" i="14"/>
  <c r="W35" i="14"/>
  <c r="V35" i="14"/>
  <c r="U35" i="14"/>
  <c r="T35" i="14"/>
  <c r="S35" i="14"/>
  <c r="Q35" i="14"/>
  <c r="O35" i="14"/>
  <c r="M35" i="14"/>
  <c r="K35" i="14"/>
  <c r="X34" i="14"/>
  <c r="W34" i="14"/>
  <c r="V34" i="14"/>
  <c r="U34" i="14"/>
  <c r="T34" i="14"/>
  <c r="S34" i="14"/>
  <c r="Q34" i="14"/>
  <c r="O34" i="14"/>
  <c r="M34" i="14"/>
  <c r="K34" i="14"/>
  <c r="X33" i="14"/>
  <c r="W33" i="14"/>
  <c r="V33" i="14"/>
  <c r="U33" i="14"/>
  <c r="T33" i="14"/>
  <c r="S33" i="14"/>
  <c r="Q33" i="14"/>
  <c r="O33" i="14"/>
  <c r="M33" i="14"/>
  <c r="K33" i="14"/>
  <c r="X32" i="14"/>
  <c r="W32" i="14"/>
  <c r="V32" i="14"/>
  <c r="U32" i="14"/>
  <c r="T32" i="14"/>
  <c r="S32" i="14"/>
  <c r="Q32" i="14"/>
  <c r="O32" i="14"/>
  <c r="M32" i="14"/>
  <c r="K32" i="14"/>
  <c r="X31" i="14"/>
  <c r="W31" i="14"/>
  <c r="V31" i="14"/>
  <c r="U31" i="14"/>
  <c r="T31" i="14"/>
  <c r="S31" i="14"/>
  <c r="Q31" i="14"/>
  <c r="O31" i="14"/>
  <c r="M31" i="14"/>
  <c r="K31" i="14"/>
  <c r="X30" i="14"/>
  <c r="W30" i="14"/>
  <c r="V30" i="14"/>
  <c r="U30" i="14"/>
  <c r="T30" i="14"/>
  <c r="S30" i="14"/>
  <c r="Q30" i="14"/>
  <c r="O30" i="14"/>
  <c r="M30" i="14"/>
  <c r="K30" i="14"/>
  <c r="X29" i="14"/>
  <c r="W29" i="14"/>
  <c r="V29" i="14"/>
  <c r="U29" i="14"/>
  <c r="T29" i="14"/>
  <c r="S29" i="14"/>
  <c r="Q29" i="14"/>
  <c r="O29" i="14"/>
  <c r="M29" i="14"/>
  <c r="K29" i="14"/>
  <c r="X28" i="14"/>
  <c r="W28" i="14"/>
  <c r="V28" i="14"/>
  <c r="U28" i="14"/>
  <c r="T28" i="14"/>
  <c r="S28" i="14"/>
  <c r="Q28" i="14"/>
  <c r="O28" i="14"/>
  <c r="M28" i="14"/>
  <c r="K28" i="14"/>
  <c r="X27" i="14"/>
  <c r="W27" i="14"/>
  <c r="V27" i="14"/>
  <c r="U27" i="14"/>
  <c r="T27" i="14"/>
  <c r="S27" i="14"/>
  <c r="Q27" i="14"/>
  <c r="O27" i="14"/>
  <c r="M27" i="14"/>
  <c r="K27" i="14"/>
  <c r="X26" i="14"/>
  <c r="W26" i="14"/>
  <c r="V26" i="14"/>
  <c r="U26" i="14"/>
  <c r="T26" i="14"/>
  <c r="S26" i="14"/>
  <c r="Q26" i="14"/>
  <c r="O26" i="14"/>
  <c r="M26" i="14"/>
  <c r="K26" i="14"/>
  <c r="X25" i="14"/>
  <c r="W25" i="14"/>
  <c r="V25" i="14"/>
  <c r="U25" i="14"/>
  <c r="T25" i="14"/>
  <c r="S25" i="14"/>
  <c r="Q25" i="14"/>
  <c r="O25" i="14"/>
  <c r="M25" i="14"/>
  <c r="K25" i="14"/>
  <c r="X24" i="14"/>
  <c r="W24" i="14"/>
  <c r="V24" i="14"/>
  <c r="U24" i="14"/>
  <c r="T24" i="14"/>
  <c r="S24" i="14"/>
  <c r="Q24" i="14"/>
  <c r="O24" i="14"/>
  <c r="M24" i="14"/>
  <c r="K24" i="14"/>
  <c r="X23" i="14"/>
  <c r="W23" i="14"/>
  <c r="V23" i="14"/>
  <c r="U23" i="14"/>
  <c r="T23" i="14"/>
  <c r="S23" i="14"/>
  <c r="Q23" i="14"/>
  <c r="O23" i="14"/>
  <c r="M23" i="14"/>
  <c r="K23" i="14"/>
  <c r="X22" i="14"/>
  <c r="W22" i="14"/>
  <c r="V22" i="14"/>
  <c r="U22" i="14"/>
  <c r="T22" i="14"/>
  <c r="S22" i="14"/>
  <c r="Q22" i="14"/>
  <c r="O22" i="14"/>
  <c r="M22" i="14"/>
  <c r="K22" i="14"/>
  <c r="X21" i="14"/>
  <c r="W21" i="14"/>
  <c r="V21" i="14"/>
  <c r="U21" i="14"/>
  <c r="T21" i="14"/>
  <c r="S21" i="14"/>
  <c r="Q21" i="14"/>
  <c r="O21" i="14"/>
  <c r="M21" i="14"/>
  <c r="K21" i="14"/>
  <c r="X20" i="14"/>
  <c r="W20" i="14"/>
  <c r="V20" i="14"/>
  <c r="U20" i="14"/>
  <c r="T20" i="14"/>
  <c r="S20" i="14"/>
  <c r="Q20" i="14"/>
  <c r="O20" i="14"/>
  <c r="M20" i="14"/>
  <c r="K20" i="14"/>
  <c r="X19" i="14"/>
  <c r="W19" i="14"/>
  <c r="V19" i="14"/>
  <c r="U19" i="14"/>
  <c r="T19" i="14"/>
  <c r="S19" i="14"/>
  <c r="Q19" i="14"/>
  <c r="O19" i="14"/>
  <c r="M19" i="14"/>
  <c r="K19" i="14"/>
  <c r="X18" i="14"/>
  <c r="W18" i="14"/>
  <c r="V18" i="14"/>
  <c r="U18" i="14"/>
  <c r="T18" i="14"/>
  <c r="S18" i="14"/>
  <c r="Q18" i="14"/>
  <c r="O18" i="14"/>
  <c r="M18" i="14"/>
  <c r="K18" i="14"/>
  <c r="X17" i="14"/>
  <c r="W17" i="14"/>
  <c r="V17" i="14"/>
  <c r="U17" i="14"/>
  <c r="T17" i="14"/>
  <c r="S17" i="14"/>
  <c r="Q17" i="14"/>
  <c r="O17" i="14"/>
  <c r="M17" i="14"/>
  <c r="K17" i="14"/>
  <c r="X16" i="14"/>
  <c r="W16" i="14"/>
  <c r="V16" i="14"/>
  <c r="U16" i="14"/>
  <c r="T16" i="14"/>
  <c r="S16" i="14"/>
  <c r="Q16" i="14"/>
  <c r="O16" i="14"/>
  <c r="M16" i="14"/>
  <c r="K16" i="14"/>
  <c r="X15" i="14"/>
  <c r="W15" i="14"/>
  <c r="V15" i="14"/>
  <c r="U15" i="14"/>
  <c r="T15" i="14"/>
  <c r="S15" i="14"/>
  <c r="Q15" i="14"/>
  <c r="O15" i="14"/>
  <c r="M15" i="14"/>
  <c r="K15" i="14"/>
  <c r="X14" i="14"/>
  <c r="W14" i="14"/>
  <c r="V14" i="14"/>
  <c r="U14" i="14"/>
  <c r="T14" i="14"/>
  <c r="S14" i="14"/>
  <c r="Q14" i="14"/>
  <c r="O14" i="14"/>
  <c r="M14" i="14"/>
  <c r="K14" i="14"/>
  <c r="X13" i="14"/>
  <c r="W13" i="14"/>
  <c r="V13" i="14"/>
  <c r="U13" i="14"/>
  <c r="T13" i="14"/>
  <c r="S13" i="14"/>
  <c r="Q13" i="14"/>
  <c r="O13" i="14"/>
  <c r="M13" i="14"/>
  <c r="K13" i="14"/>
  <c r="X12" i="14"/>
  <c r="W12" i="14"/>
  <c r="V12" i="14"/>
  <c r="U12" i="14"/>
  <c r="T12" i="14"/>
  <c r="S12" i="14"/>
  <c r="Q12" i="14"/>
  <c r="O12" i="14"/>
  <c r="M12" i="14"/>
  <c r="K12" i="14"/>
  <c r="X11" i="14"/>
  <c r="W11" i="14"/>
  <c r="V11" i="14"/>
  <c r="U11" i="14"/>
  <c r="T11" i="14"/>
  <c r="S11" i="14"/>
  <c r="Q11" i="14"/>
  <c r="O11" i="14"/>
  <c r="M11" i="14"/>
  <c r="K11" i="14"/>
  <c r="X10" i="14"/>
  <c r="W10" i="14"/>
  <c r="V10" i="14"/>
  <c r="U10" i="14"/>
  <c r="T10" i="14"/>
  <c r="S10" i="14"/>
  <c r="Q10" i="14"/>
  <c r="O10" i="14"/>
  <c r="M10" i="14"/>
  <c r="K10" i="14"/>
  <c r="X9" i="14"/>
  <c r="W9" i="14"/>
  <c r="V9" i="14"/>
  <c r="U9" i="14"/>
  <c r="T9" i="14"/>
  <c r="S9" i="14"/>
  <c r="Q9" i="14"/>
  <c r="O9" i="14"/>
  <c r="M9" i="14"/>
  <c r="K9" i="14"/>
  <c r="X8" i="14"/>
  <c r="W8" i="14"/>
  <c r="V8" i="14"/>
  <c r="U8" i="14"/>
  <c r="T8" i="14"/>
  <c r="S8" i="14"/>
  <c r="Q8" i="14"/>
  <c r="O8" i="14"/>
  <c r="M8" i="14"/>
  <c r="K8" i="14"/>
  <c r="X7" i="14"/>
  <c r="W7" i="14"/>
  <c r="V7" i="14"/>
  <c r="U7" i="14"/>
  <c r="T7" i="14"/>
  <c r="S7" i="14"/>
  <c r="Q7" i="14"/>
  <c r="O7" i="14"/>
  <c r="M7" i="14"/>
  <c r="K7" i="14"/>
  <c r="X291" i="13"/>
  <c r="W291" i="13"/>
  <c r="V291" i="13"/>
  <c r="U291" i="13"/>
  <c r="T291" i="13"/>
  <c r="S291" i="13"/>
  <c r="Q291" i="13"/>
  <c r="O291" i="13"/>
  <c r="M291" i="13"/>
  <c r="K291" i="13"/>
  <c r="X290" i="13"/>
  <c r="W290" i="13"/>
  <c r="V290" i="13"/>
  <c r="U290" i="13"/>
  <c r="T290" i="13"/>
  <c r="S290" i="13"/>
  <c r="Q290" i="13"/>
  <c r="O290" i="13"/>
  <c r="M290" i="13"/>
  <c r="K290" i="13"/>
  <c r="X289" i="13"/>
  <c r="W289" i="13"/>
  <c r="V289" i="13"/>
  <c r="U289" i="13"/>
  <c r="T289" i="13"/>
  <c r="S289" i="13"/>
  <c r="Q289" i="13"/>
  <c r="O289" i="13"/>
  <c r="M289" i="13"/>
  <c r="K289" i="13"/>
  <c r="X288" i="13"/>
  <c r="W288" i="13"/>
  <c r="V288" i="13"/>
  <c r="U288" i="13"/>
  <c r="T288" i="13"/>
  <c r="S288" i="13"/>
  <c r="Q288" i="13"/>
  <c r="O288" i="13"/>
  <c r="M288" i="13"/>
  <c r="K288" i="13"/>
  <c r="X287" i="13"/>
  <c r="W287" i="13"/>
  <c r="V287" i="13"/>
  <c r="U287" i="13"/>
  <c r="T287" i="13"/>
  <c r="S287" i="13"/>
  <c r="Q287" i="13"/>
  <c r="O287" i="13"/>
  <c r="M287" i="13"/>
  <c r="K287" i="13"/>
  <c r="X286" i="13"/>
  <c r="W286" i="13"/>
  <c r="V286" i="13"/>
  <c r="U286" i="13"/>
  <c r="T286" i="13"/>
  <c r="S286" i="13"/>
  <c r="Q286" i="13"/>
  <c r="O286" i="13"/>
  <c r="M286" i="13"/>
  <c r="K286" i="13"/>
  <c r="X285" i="13"/>
  <c r="W285" i="13"/>
  <c r="V285" i="13"/>
  <c r="U285" i="13"/>
  <c r="T285" i="13"/>
  <c r="S285" i="13"/>
  <c r="Q285" i="13"/>
  <c r="O285" i="13"/>
  <c r="M285" i="13"/>
  <c r="K285" i="13"/>
  <c r="X284" i="13"/>
  <c r="W284" i="13"/>
  <c r="V284" i="13"/>
  <c r="U284" i="13"/>
  <c r="T284" i="13"/>
  <c r="S284" i="13"/>
  <c r="Q284" i="13"/>
  <c r="O284" i="13"/>
  <c r="M284" i="13"/>
  <c r="K284" i="13"/>
  <c r="X283" i="13"/>
  <c r="W283" i="13"/>
  <c r="V283" i="13"/>
  <c r="U283" i="13"/>
  <c r="T283" i="13"/>
  <c r="S283" i="13"/>
  <c r="Q283" i="13"/>
  <c r="O283" i="13"/>
  <c r="M283" i="13"/>
  <c r="K283" i="13"/>
  <c r="X282" i="13"/>
  <c r="W282" i="13"/>
  <c r="V282" i="13"/>
  <c r="U282" i="13"/>
  <c r="T282" i="13"/>
  <c r="S282" i="13"/>
  <c r="Q282" i="13"/>
  <c r="O282" i="13"/>
  <c r="M282" i="13"/>
  <c r="K282" i="13"/>
  <c r="X281" i="13"/>
  <c r="W281" i="13"/>
  <c r="V281" i="13"/>
  <c r="U281" i="13"/>
  <c r="T281" i="13"/>
  <c r="S281" i="13"/>
  <c r="Q281" i="13"/>
  <c r="O281" i="13"/>
  <c r="M281" i="13"/>
  <c r="K281" i="13"/>
  <c r="X280" i="13"/>
  <c r="W280" i="13"/>
  <c r="V280" i="13"/>
  <c r="U280" i="13"/>
  <c r="T280" i="13"/>
  <c r="S280" i="13"/>
  <c r="Q280" i="13"/>
  <c r="O280" i="13"/>
  <c r="M280" i="13"/>
  <c r="K280" i="13"/>
  <c r="X279" i="13"/>
  <c r="W279" i="13"/>
  <c r="V279" i="13"/>
  <c r="U279" i="13"/>
  <c r="T279" i="13"/>
  <c r="S279" i="13"/>
  <c r="Q279" i="13"/>
  <c r="O279" i="13"/>
  <c r="M279" i="13"/>
  <c r="K279" i="13"/>
  <c r="X278" i="13"/>
  <c r="W278" i="13"/>
  <c r="V278" i="13"/>
  <c r="U278" i="13"/>
  <c r="T278" i="13"/>
  <c r="S278" i="13"/>
  <c r="Q278" i="13"/>
  <c r="O278" i="13"/>
  <c r="M278" i="13"/>
  <c r="K278" i="13"/>
  <c r="X277" i="13"/>
  <c r="W277" i="13"/>
  <c r="V277" i="13"/>
  <c r="U277" i="13"/>
  <c r="T277" i="13"/>
  <c r="S277" i="13"/>
  <c r="Q277" i="13"/>
  <c r="O277" i="13"/>
  <c r="M277" i="13"/>
  <c r="K277" i="13"/>
  <c r="X276" i="13"/>
  <c r="W276" i="13"/>
  <c r="V276" i="13"/>
  <c r="U276" i="13"/>
  <c r="T276" i="13"/>
  <c r="S276" i="13"/>
  <c r="Q276" i="13"/>
  <c r="O276" i="13"/>
  <c r="M276" i="13"/>
  <c r="K276" i="13"/>
  <c r="X275" i="13"/>
  <c r="W275" i="13"/>
  <c r="V275" i="13"/>
  <c r="U275" i="13"/>
  <c r="T275" i="13"/>
  <c r="S275" i="13"/>
  <c r="Q275" i="13"/>
  <c r="O275" i="13"/>
  <c r="M275" i="13"/>
  <c r="K275" i="13"/>
  <c r="X274" i="13"/>
  <c r="W274" i="13"/>
  <c r="V274" i="13"/>
  <c r="U274" i="13"/>
  <c r="T274" i="13"/>
  <c r="S274" i="13"/>
  <c r="Q274" i="13"/>
  <c r="O274" i="13"/>
  <c r="M274" i="13"/>
  <c r="K274" i="13"/>
  <c r="X273" i="13"/>
  <c r="W273" i="13"/>
  <c r="V273" i="13"/>
  <c r="U273" i="13"/>
  <c r="T273" i="13"/>
  <c r="S273" i="13"/>
  <c r="Q273" i="13"/>
  <c r="O273" i="13"/>
  <c r="M273" i="13"/>
  <c r="K273" i="13"/>
  <c r="X272" i="13"/>
  <c r="W272" i="13"/>
  <c r="V272" i="13"/>
  <c r="U272" i="13"/>
  <c r="T272" i="13"/>
  <c r="S272" i="13"/>
  <c r="Q272" i="13"/>
  <c r="O272" i="13"/>
  <c r="M272" i="13"/>
  <c r="K272" i="13"/>
  <c r="X271" i="13"/>
  <c r="W271" i="13"/>
  <c r="V271" i="13"/>
  <c r="U271" i="13"/>
  <c r="T271" i="13"/>
  <c r="S271" i="13"/>
  <c r="Q271" i="13"/>
  <c r="O271" i="13"/>
  <c r="M271" i="13"/>
  <c r="K271" i="13"/>
  <c r="X270" i="13"/>
  <c r="W270" i="13"/>
  <c r="V270" i="13"/>
  <c r="U270" i="13"/>
  <c r="T270" i="13"/>
  <c r="S270" i="13"/>
  <c r="Q270" i="13"/>
  <c r="O270" i="13"/>
  <c r="M270" i="13"/>
  <c r="K270" i="13"/>
  <c r="X269" i="13"/>
  <c r="W269" i="13"/>
  <c r="V269" i="13"/>
  <c r="U269" i="13"/>
  <c r="T269" i="13"/>
  <c r="S269" i="13"/>
  <c r="Q269" i="13"/>
  <c r="O269" i="13"/>
  <c r="M269" i="13"/>
  <c r="K269" i="13"/>
  <c r="X268" i="13"/>
  <c r="W268" i="13"/>
  <c r="V268" i="13"/>
  <c r="U268" i="13"/>
  <c r="T268" i="13"/>
  <c r="S268" i="13"/>
  <c r="Q268" i="13"/>
  <c r="O268" i="13"/>
  <c r="M268" i="13"/>
  <c r="K268" i="13"/>
  <c r="X267" i="13"/>
  <c r="W267" i="13"/>
  <c r="V267" i="13"/>
  <c r="U267" i="13"/>
  <c r="T267" i="13"/>
  <c r="S267" i="13"/>
  <c r="Q267" i="13"/>
  <c r="O267" i="13"/>
  <c r="M267" i="13"/>
  <c r="K267" i="13"/>
  <c r="X266" i="13"/>
  <c r="W266" i="13"/>
  <c r="V266" i="13"/>
  <c r="U266" i="13"/>
  <c r="T266" i="13"/>
  <c r="S266" i="13"/>
  <c r="Q266" i="13"/>
  <c r="O266" i="13"/>
  <c r="M266" i="13"/>
  <c r="K266" i="13"/>
  <c r="X265" i="13"/>
  <c r="W265" i="13"/>
  <c r="V265" i="13"/>
  <c r="U265" i="13"/>
  <c r="T265" i="13"/>
  <c r="S265" i="13"/>
  <c r="Q265" i="13"/>
  <c r="O265" i="13"/>
  <c r="M265" i="13"/>
  <c r="K265" i="13"/>
  <c r="X264" i="13"/>
  <c r="W264" i="13"/>
  <c r="V264" i="13"/>
  <c r="U264" i="13"/>
  <c r="T264" i="13"/>
  <c r="S264" i="13"/>
  <c r="Q264" i="13"/>
  <c r="O264" i="13"/>
  <c r="M264" i="13"/>
  <c r="K264" i="13"/>
  <c r="X263" i="13"/>
  <c r="W263" i="13"/>
  <c r="V263" i="13"/>
  <c r="U263" i="13"/>
  <c r="T263" i="13"/>
  <c r="S263" i="13"/>
  <c r="Q263" i="13"/>
  <c r="O263" i="13"/>
  <c r="M263" i="13"/>
  <c r="K263" i="13"/>
  <c r="X262" i="13"/>
  <c r="W262" i="13"/>
  <c r="V262" i="13"/>
  <c r="U262" i="13"/>
  <c r="T262" i="13"/>
  <c r="S262" i="13"/>
  <c r="Q262" i="13"/>
  <c r="O262" i="13"/>
  <c r="M262" i="13"/>
  <c r="K262" i="13"/>
  <c r="X261" i="13"/>
  <c r="W261" i="13"/>
  <c r="V261" i="13"/>
  <c r="U261" i="13"/>
  <c r="T261" i="13"/>
  <c r="S261" i="13"/>
  <c r="Q261" i="13"/>
  <c r="O261" i="13"/>
  <c r="M261" i="13"/>
  <c r="K261" i="13"/>
  <c r="X260" i="13"/>
  <c r="W260" i="13"/>
  <c r="V260" i="13"/>
  <c r="U260" i="13"/>
  <c r="T260" i="13"/>
  <c r="S260" i="13"/>
  <c r="Q260" i="13"/>
  <c r="O260" i="13"/>
  <c r="M260" i="13"/>
  <c r="K260" i="13"/>
  <c r="X259" i="13"/>
  <c r="W259" i="13"/>
  <c r="V259" i="13"/>
  <c r="U259" i="13"/>
  <c r="T259" i="13"/>
  <c r="S259" i="13"/>
  <c r="Q259" i="13"/>
  <c r="O259" i="13"/>
  <c r="M259" i="13"/>
  <c r="K259" i="13"/>
  <c r="X258" i="13"/>
  <c r="W258" i="13"/>
  <c r="V258" i="13"/>
  <c r="U258" i="13"/>
  <c r="T258" i="13"/>
  <c r="S258" i="13"/>
  <c r="Q258" i="13"/>
  <c r="O258" i="13"/>
  <c r="M258" i="13"/>
  <c r="K258" i="13"/>
  <c r="X257" i="13"/>
  <c r="W257" i="13"/>
  <c r="V257" i="13"/>
  <c r="U257" i="13"/>
  <c r="T257" i="13"/>
  <c r="S257" i="13"/>
  <c r="Q257" i="13"/>
  <c r="O257" i="13"/>
  <c r="M257" i="13"/>
  <c r="K257" i="13"/>
  <c r="X256" i="13"/>
  <c r="W256" i="13"/>
  <c r="V256" i="13"/>
  <c r="U256" i="13"/>
  <c r="T256" i="13"/>
  <c r="S256" i="13"/>
  <c r="Q256" i="13"/>
  <c r="O256" i="13"/>
  <c r="M256" i="13"/>
  <c r="K256" i="13"/>
  <c r="X255" i="13"/>
  <c r="W255" i="13"/>
  <c r="V255" i="13"/>
  <c r="U255" i="13"/>
  <c r="T255" i="13"/>
  <c r="S255" i="13"/>
  <c r="Q255" i="13"/>
  <c r="O255" i="13"/>
  <c r="M255" i="13"/>
  <c r="K255" i="13"/>
  <c r="X254" i="13"/>
  <c r="W254" i="13"/>
  <c r="V254" i="13"/>
  <c r="U254" i="13"/>
  <c r="T254" i="13"/>
  <c r="S254" i="13"/>
  <c r="Q254" i="13"/>
  <c r="O254" i="13"/>
  <c r="M254" i="13"/>
  <c r="K254" i="13"/>
  <c r="X253" i="13"/>
  <c r="W253" i="13"/>
  <c r="V253" i="13"/>
  <c r="U253" i="13"/>
  <c r="T253" i="13"/>
  <c r="S253" i="13"/>
  <c r="Q253" i="13"/>
  <c r="O253" i="13"/>
  <c r="M253" i="13"/>
  <c r="K253" i="13"/>
  <c r="X252" i="13"/>
  <c r="W252" i="13"/>
  <c r="V252" i="13"/>
  <c r="U252" i="13"/>
  <c r="T252" i="13"/>
  <c r="S252" i="13"/>
  <c r="Q252" i="13"/>
  <c r="O252" i="13"/>
  <c r="M252" i="13"/>
  <c r="K252" i="13"/>
  <c r="X251" i="13"/>
  <c r="W251" i="13"/>
  <c r="V251" i="13"/>
  <c r="U251" i="13"/>
  <c r="T251" i="13"/>
  <c r="S251" i="13"/>
  <c r="Q251" i="13"/>
  <c r="O251" i="13"/>
  <c r="M251" i="13"/>
  <c r="K251" i="13"/>
  <c r="X250" i="13"/>
  <c r="W250" i="13"/>
  <c r="V250" i="13"/>
  <c r="U250" i="13"/>
  <c r="T250" i="13"/>
  <c r="S250" i="13"/>
  <c r="Q250" i="13"/>
  <c r="O250" i="13"/>
  <c r="M250" i="13"/>
  <c r="K250" i="13"/>
  <c r="X249" i="13"/>
  <c r="W249" i="13"/>
  <c r="V249" i="13"/>
  <c r="U249" i="13"/>
  <c r="T249" i="13"/>
  <c r="S249" i="13"/>
  <c r="Q249" i="13"/>
  <c r="O249" i="13"/>
  <c r="M249" i="13"/>
  <c r="K249" i="13"/>
  <c r="X248" i="13"/>
  <c r="W248" i="13"/>
  <c r="V248" i="13"/>
  <c r="U248" i="13"/>
  <c r="T248" i="13"/>
  <c r="S248" i="13"/>
  <c r="Q248" i="13"/>
  <c r="O248" i="13"/>
  <c r="M248" i="13"/>
  <c r="K248" i="13"/>
  <c r="X247" i="13"/>
  <c r="W247" i="13"/>
  <c r="V247" i="13"/>
  <c r="U247" i="13"/>
  <c r="T247" i="13"/>
  <c r="S247" i="13"/>
  <c r="Q247" i="13"/>
  <c r="O247" i="13"/>
  <c r="M247" i="13"/>
  <c r="K247" i="13"/>
  <c r="X246" i="13"/>
  <c r="W246" i="13"/>
  <c r="V246" i="13"/>
  <c r="U246" i="13"/>
  <c r="T246" i="13"/>
  <c r="S246" i="13"/>
  <c r="Q246" i="13"/>
  <c r="O246" i="13"/>
  <c r="M246" i="13"/>
  <c r="K246" i="13"/>
  <c r="X245" i="13"/>
  <c r="W245" i="13"/>
  <c r="V245" i="13"/>
  <c r="U245" i="13"/>
  <c r="T245" i="13"/>
  <c r="S245" i="13"/>
  <c r="Q245" i="13"/>
  <c r="O245" i="13"/>
  <c r="M245" i="13"/>
  <c r="K245" i="13"/>
  <c r="X244" i="13"/>
  <c r="W244" i="13"/>
  <c r="V244" i="13"/>
  <c r="U244" i="13"/>
  <c r="T244" i="13"/>
  <c r="S244" i="13"/>
  <c r="Q244" i="13"/>
  <c r="O244" i="13"/>
  <c r="M244" i="13"/>
  <c r="K244" i="13"/>
  <c r="X243" i="13"/>
  <c r="W243" i="13"/>
  <c r="V243" i="13"/>
  <c r="U243" i="13"/>
  <c r="T243" i="13"/>
  <c r="S243" i="13"/>
  <c r="Q243" i="13"/>
  <c r="O243" i="13"/>
  <c r="M243" i="13"/>
  <c r="K243" i="13"/>
  <c r="X242" i="13"/>
  <c r="W242" i="13"/>
  <c r="V242" i="13"/>
  <c r="U242" i="13"/>
  <c r="T242" i="13"/>
  <c r="S242" i="13"/>
  <c r="Q242" i="13"/>
  <c r="O242" i="13"/>
  <c r="M242" i="13"/>
  <c r="K242" i="13"/>
  <c r="X241" i="13"/>
  <c r="W241" i="13"/>
  <c r="V241" i="13"/>
  <c r="U241" i="13"/>
  <c r="T241" i="13"/>
  <c r="S241" i="13"/>
  <c r="Q241" i="13"/>
  <c r="O241" i="13"/>
  <c r="M241" i="13"/>
  <c r="K241" i="13"/>
  <c r="X240" i="13"/>
  <c r="W240" i="13"/>
  <c r="V240" i="13"/>
  <c r="U240" i="13"/>
  <c r="T240" i="13"/>
  <c r="S240" i="13"/>
  <c r="Q240" i="13"/>
  <c r="O240" i="13"/>
  <c r="M240" i="13"/>
  <c r="K240" i="13"/>
  <c r="X239" i="13"/>
  <c r="W239" i="13"/>
  <c r="V239" i="13"/>
  <c r="U239" i="13"/>
  <c r="T239" i="13"/>
  <c r="S239" i="13"/>
  <c r="Q239" i="13"/>
  <c r="O239" i="13"/>
  <c r="M239" i="13"/>
  <c r="K239" i="13"/>
  <c r="X238" i="13"/>
  <c r="W238" i="13"/>
  <c r="V238" i="13"/>
  <c r="U238" i="13"/>
  <c r="T238" i="13"/>
  <c r="S238" i="13"/>
  <c r="Q238" i="13"/>
  <c r="O238" i="13"/>
  <c r="M238" i="13"/>
  <c r="K238" i="13"/>
  <c r="X237" i="13"/>
  <c r="W237" i="13"/>
  <c r="V237" i="13"/>
  <c r="U237" i="13"/>
  <c r="T237" i="13"/>
  <c r="S237" i="13"/>
  <c r="Q237" i="13"/>
  <c r="O237" i="13"/>
  <c r="M237" i="13"/>
  <c r="K237" i="13"/>
  <c r="X236" i="13"/>
  <c r="W236" i="13"/>
  <c r="V236" i="13"/>
  <c r="U236" i="13"/>
  <c r="T236" i="13"/>
  <c r="S236" i="13"/>
  <c r="Q236" i="13"/>
  <c r="O236" i="13"/>
  <c r="M236" i="13"/>
  <c r="K236" i="13"/>
  <c r="X235" i="13"/>
  <c r="W235" i="13"/>
  <c r="V235" i="13"/>
  <c r="U235" i="13"/>
  <c r="T235" i="13"/>
  <c r="S235" i="13"/>
  <c r="Q235" i="13"/>
  <c r="O235" i="13"/>
  <c r="M235" i="13"/>
  <c r="K235" i="13"/>
  <c r="X234" i="13"/>
  <c r="W234" i="13"/>
  <c r="V234" i="13"/>
  <c r="U234" i="13"/>
  <c r="T234" i="13"/>
  <c r="S234" i="13"/>
  <c r="Q234" i="13"/>
  <c r="O234" i="13"/>
  <c r="M234" i="13"/>
  <c r="K234" i="13"/>
  <c r="X233" i="13"/>
  <c r="W233" i="13"/>
  <c r="V233" i="13"/>
  <c r="U233" i="13"/>
  <c r="T233" i="13"/>
  <c r="S233" i="13"/>
  <c r="Q233" i="13"/>
  <c r="O233" i="13"/>
  <c r="M233" i="13"/>
  <c r="K233" i="13"/>
  <c r="X232" i="13"/>
  <c r="W232" i="13"/>
  <c r="V232" i="13"/>
  <c r="U232" i="13"/>
  <c r="T232" i="13"/>
  <c r="S232" i="13"/>
  <c r="Q232" i="13"/>
  <c r="O232" i="13"/>
  <c r="M232" i="13"/>
  <c r="K232" i="13"/>
  <c r="X231" i="13"/>
  <c r="W231" i="13"/>
  <c r="V231" i="13"/>
  <c r="U231" i="13"/>
  <c r="T231" i="13"/>
  <c r="S231" i="13"/>
  <c r="Q231" i="13"/>
  <c r="O231" i="13"/>
  <c r="M231" i="13"/>
  <c r="K231" i="13"/>
  <c r="X230" i="13"/>
  <c r="W230" i="13"/>
  <c r="V230" i="13"/>
  <c r="U230" i="13"/>
  <c r="T230" i="13"/>
  <c r="S230" i="13"/>
  <c r="Q230" i="13"/>
  <c r="O230" i="13"/>
  <c r="M230" i="13"/>
  <c r="K230" i="13"/>
  <c r="X229" i="13"/>
  <c r="W229" i="13"/>
  <c r="V229" i="13"/>
  <c r="U229" i="13"/>
  <c r="T229" i="13"/>
  <c r="S229" i="13"/>
  <c r="Q229" i="13"/>
  <c r="O229" i="13"/>
  <c r="M229" i="13"/>
  <c r="K229" i="13"/>
  <c r="X228" i="13"/>
  <c r="W228" i="13"/>
  <c r="V228" i="13"/>
  <c r="U228" i="13"/>
  <c r="T228" i="13"/>
  <c r="S228" i="13"/>
  <c r="Q228" i="13"/>
  <c r="O228" i="13"/>
  <c r="M228" i="13"/>
  <c r="K228" i="13"/>
  <c r="X227" i="13"/>
  <c r="W227" i="13"/>
  <c r="V227" i="13"/>
  <c r="U227" i="13"/>
  <c r="T227" i="13"/>
  <c r="S227" i="13"/>
  <c r="Q227" i="13"/>
  <c r="O227" i="13"/>
  <c r="M227" i="13"/>
  <c r="K227" i="13"/>
  <c r="X226" i="13"/>
  <c r="W226" i="13"/>
  <c r="V226" i="13"/>
  <c r="U226" i="13"/>
  <c r="T226" i="13"/>
  <c r="S226" i="13"/>
  <c r="Q226" i="13"/>
  <c r="O226" i="13"/>
  <c r="M226" i="13"/>
  <c r="K226" i="13"/>
  <c r="X225" i="13"/>
  <c r="W225" i="13"/>
  <c r="V225" i="13"/>
  <c r="U225" i="13"/>
  <c r="T225" i="13"/>
  <c r="S225" i="13"/>
  <c r="Q225" i="13"/>
  <c r="O225" i="13"/>
  <c r="M225" i="13"/>
  <c r="K225" i="13"/>
  <c r="X224" i="13"/>
  <c r="W224" i="13"/>
  <c r="V224" i="13"/>
  <c r="U224" i="13"/>
  <c r="T224" i="13"/>
  <c r="S224" i="13"/>
  <c r="Q224" i="13"/>
  <c r="O224" i="13"/>
  <c r="M224" i="13"/>
  <c r="K224" i="13"/>
  <c r="X223" i="13"/>
  <c r="W223" i="13"/>
  <c r="V223" i="13"/>
  <c r="U223" i="13"/>
  <c r="T223" i="13"/>
  <c r="S223" i="13"/>
  <c r="Q223" i="13"/>
  <c r="O223" i="13"/>
  <c r="M223" i="13"/>
  <c r="K223" i="13"/>
  <c r="X222" i="13"/>
  <c r="W222" i="13"/>
  <c r="V222" i="13"/>
  <c r="U222" i="13"/>
  <c r="T222" i="13"/>
  <c r="S222" i="13"/>
  <c r="Q222" i="13"/>
  <c r="O222" i="13"/>
  <c r="M222" i="13"/>
  <c r="K222" i="13"/>
  <c r="X221" i="13"/>
  <c r="W221" i="13"/>
  <c r="V221" i="13"/>
  <c r="U221" i="13"/>
  <c r="T221" i="13"/>
  <c r="S221" i="13"/>
  <c r="Q221" i="13"/>
  <c r="O221" i="13"/>
  <c r="M221" i="13"/>
  <c r="K221" i="13"/>
  <c r="X220" i="13"/>
  <c r="W220" i="13"/>
  <c r="V220" i="13"/>
  <c r="U220" i="13"/>
  <c r="T220" i="13"/>
  <c r="S220" i="13"/>
  <c r="Q220" i="13"/>
  <c r="O220" i="13"/>
  <c r="M220" i="13"/>
  <c r="K220" i="13"/>
  <c r="X219" i="13"/>
  <c r="W219" i="13"/>
  <c r="V219" i="13"/>
  <c r="U219" i="13"/>
  <c r="T219" i="13"/>
  <c r="S219" i="13"/>
  <c r="Q219" i="13"/>
  <c r="O219" i="13"/>
  <c r="M219" i="13"/>
  <c r="K219" i="13"/>
  <c r="X218" i="13"/>
  <c r="W218" i="13"/>
  <c r="V218" i="13"/>
  <c r="U218" i="13"/>
  <c r="T218" i="13"/>
  <c r="S218" i="13"/>
  <c r="Q218" i="13"/>
  <c r="O218" i="13"/>
  <c r="M218" i="13"/>
  <c r="K218" i="13"/>
  <c r="X217" i="13"/>
  <c r="W217" i="13"/>
  <c r="V217" i="13"/>
  <c r="U217" i="13"/>
  <c r="T217" i="13"/>
  <c r="S217" i="13"/>
  <c r="Q217" i="13"/>
  <c r="O217" i="13"/>
  <c r="M217" i="13"/>
  <c r="K217" i="13"/>
  <c r="X216" i="13"/>
  <c r="W216" i="13"/>
  <c r="V216" i="13"/>
  <c r="U216" i="13"/>
  <c r="T216" i="13"/>
  <c r="S216" i="13"/>
  <c r="Q216" i="13"/>
  <c r="O216" i="13"/>
  <c r="M216" i="13"/>
  <c r="K216" i="13"/>
  <c r="X215" i="13"/>
  <c r="W215" i="13"/>
  <c r="V215" i="13"/>
  <c r="U215" i="13"/>
  <c r="T215" i="13"/>
  <c r="S215" i="13"/>
  <c r="Q215" i="13"/>
  <c r="O215" i="13"/>
  <c r="M215" i="13"/>
  <c r="K215" i="13"/>
  <c r="X214" i="13"/>
  <c r="W214" i="13"/>
  <c r="V214" i="13"/>
  <c r="U214" i="13"/>
  <c r="T214" i="13"/>
  <c r="S214" i="13"/>
  <c r="Q214" i="13"/>
  <c r="O214" i="13"/>
  <c r="M214" i="13"/>
  <c r="K214" i="13"/>
  <c r="X213" i="13"/>
  <c r="W213" i="13"/>
  <c r="V213" i="13"/>
  <c r="U213" i="13"/>
  <c r="T213" i="13"/>
  <c r="S213" i="13"/>
  <c r="Q213" i="13"/>
  <c r="O213" i="13"/>
  <c r="M213" i="13"/>
  <c r="K213" i="13"/>
  <c r="X212" i="13"/>
  <c r="W212" i="13"/>
  <c r="V212" i="13"/>
  <c r="U212" i="13"/>
  <c r="T212" i="13"/>
  <c r="S212" i="13"/>
  <c r="Q212" i="13"/>
  <c r="O212" i="13"/>
  <c r="M212" i="13"/>
  <c r="K212" i="13"/>
  <c r="X211" i="13"/>
  <c r="W211" i="13"/>
  <c r="V211" i="13"/>
  <c r="U211" i="13"/>
  <c r="T211" i="13"/>
  <c r="S211" i="13"/>
  <c r="Q211" i="13"/>
  <c r="O211" i="13"/>
  <c r="M211" i="13"/>
  <c r="K211" i="13"/>
  <c r="X210" i="13"/>
  <c r="W210" i="13"/>
  <c r="V210" i="13"/>
  <c r="U210" i="13"/>
  <c r="T210" i="13"/>
  <c r="S210" i="13"/>
  <c r="Q210" i="13"/>
  <c r="O210" i="13"/>
  <c r="M210" i="13"/>
  <c r="K210" i="13"/>
  <c r="X209" i="13"/>
  <c r="W209" i="13"/>
  <c r="V209" i="13"/>
  <c r="U209" i="13"/>
  <c r="T209" i="13"/>
  <c r="S209" i="13"/>
  <c r="Q209" i="13"/>
  <c r="O209" i="13"/>
  <c r="M209" i="13"/>
  <c r="K209" i="13"/>
  <c r="X208" i="13"/>
  <c r="W208" i="13"/>
  <c r="V208" i="13"/>
  <c r="U208" i="13"/>
  <c r="T208" i="13"/>
  <c r="S208" i="13"/>
  <c r="Q208" i="13"/>
  <c r="O208" i="13"/>
  <c r="M208" i="13"/>
  <c r="K208" i="13"/>
  <c r="X207" i="13"/>
  <c r="W207" i="13"/>
  <c r="V207" i="13"/>
  <c r="U207" i="13"/>
  <c r="T207" i="13"/>
  <c r="S207" i="13"/>
  <c r="Q207" i="13"/>
  <c r="O207" i="13"/>
  <c r="M207" i="13"/>
  <c r="K207" i="13"/>
  <c r="X206" i="13"/>
  <c r="W206" i="13"/>
  <c r="V206" i="13"/>
  <c r="U206" i="13"/>
  <c r="T206" i="13"/>
  <c r="S206" i="13"/>
  <c r="Q206" i="13"/>
  <c r="O206" i="13"/>
  <c r="M206" i="13"/>
  <c r="K206" i="13"/>
  <c r="X205" i="13"/>
  <c r="W205" i="13"/>
  <c r="V205" i="13"/>
  <c r="U205" i="13"/>
  <c r="T205" i="13"/>
  <c r="S205" i="13"/>
  <c r="Q205" i="13"/>
  <c r="O205" i="13"/>
  <c r="M205" i="13"/>
  <c r="K205" i="13"/>
  <c r="X204" i="13"/>
  <c r="W204" i="13"/>
  <c r="V204" i="13"/>
  <c r="U204" i="13"/>
  <c r="T204" i="13"/>
  <c r="S204" i="13"/>
  <c r="Q204" i="13"/>
  <c r="O204" i="13"/>
  <c r="M204" i="13"/>
  <c r="K204" i="13"/>
  <c r="X203" i="13"/>
  <c r="W203" i="13"/>
  <c r="V203" i="13"/>
  <c r="U203" i="13"/>
  <c r="T203" i="13"/>
  <c r="S203" i="13"/>
  <c r="Q203" i="13"/>
  <c r="O203" i="13"/>
  <c r="M203" i="13"/>
  <c r="K203" i="13"/>
  <c r="X202" i="13"/>
  <c r="W202" i="13"/>
  <c r="V202" i="13"/>
  <c r="U202" i="13"/>
  <c r="T202" i="13"/>
  <c r="S202" i="13"/>
  <c r="Q202" i="13"/>
  <c r="O202" i="13"/>
  <c r="M202" i="13"/>
  <c r="K202" i="13"/>
  <c r="X201" i="13"/>
  <c r="W201" i="13"/>
  <c r="V201" i="13"/>
  <c r="U201" i="13"/>
  <c r="T201" i="13"/>
  <c r="S201" i="13"/>
  <c r="Q201" i="13"/>
  <c r="O201" i="13"/>
  <c r="M201" i="13"/>
  <c r="K201" i="13"/>
  <c r="X200" i="13"/>
  <c r="W200" i="13"/>
  <c r="V200" i="13"/>
  <c r="U200" i="13"/>
  <c r="T200" i="13"/>
  <c r="S200" i="13"/>
  <c r="Q200" i="13"/>
  <c r="O200" i="13"/>
  <c r="M200" i="13"/>
  <c r="K200" i="13"/>
  <c r="X199" i="13"/>
  <c r="W199" i="13"/>
  <c r="V199" i="13"/>
  <c r="U199" i="13"/>
  <c r="T199" i="13"/>
  <c r="S199" i="13"/>
  <c r="Q199" i="13"/>
  <c r="O199" i="13"/>
  <c r="M199" i="13"/>
  <c r="K199" i="13"/>
  <c r="X198" i="13"/>
  <c r="W198" i="13"/>
  <c r="V198" i="13"/>
  <c r="U198" i="13"/>
  <c r="T198" i="13"/>
  <c r="S198" i="13"/>
  <c r="Q198" i="13"/>
  <c r="O198" i="13"/>
  <c r="M198" i="13"/>
  <c r="K198" i="13"/>
  <c r="X197" i="13"/>
  <c r="W197" i="13"/>
  <c r="V197" i="13"/>
  <c r="U197" i="13"/>
  <c r="T197" i="13"/>
  <c r="S197" i="13"/>
  <c r="Q197" i="13"/>
  <c r="O197" i="13"/>
  <c r="M197" i="13"/>
  <c r="K197" i="13"/>
  <c r="X196" i="13"/>
  <c r="W196" i="13"/>
  <c r="V196" i="13"/>
  <c r="U196" i="13"/>
  <c r="T196" i="13"/>
  <c r="S196" i="13"/>
  <c r="Q196" i="13"/>
  <c r="O196" i="13"/>
  <c r="M196" i="13"/>
  <c r="K196" i="13"/>
  <c r="X195" i="13"/>
  <c r="W195" i="13"/>
  <c r="V195" i="13"/>
  <c r="U195" i="13"/>
  <c r="T195" i="13"/>
  <c r="S195" i="13"/>
  <c r="Q195" i="13"/>
  <c r="O195" i="13"/>
  <c r="M195" i="13"/>
  <c r="K195" i="13"/>
  <c r="X194" i="13"/>
  <c r="W194" i="13"/>
  <c r="V194" i="13"/>
  <c r="U194" i="13"/>
  <c r="T194" i="13"/>
  <c r="S194" i="13"/>
  <c r="Q194" i="13"/>
  <c r="O194" i="13"/>
  <c r="M194" i="13"/>
  <c r="K194" i="13"/>
  <c r="X193" i="13"/>
  <c r="W193" i="13"/>
  <c r="V193" i="13"/>
  <c r="U193" i="13"/>
  <c r="T193" i="13"/>
  <c r="S193" i="13"/>
  <c r="Q193" i="13"/>
  <c r="O193" i="13"/>
  <c r="M193" i="13"/>
  <c r="K193" i="13"/>
  <c r="X192" i="13"/>
  <c r="W192" i="13"/>
  <c r="V192" i="13"/>
  <c r="U192" i="13"/>
  <c r="T192" i="13"/>
  <c r="S192" i="13"/>
  <c r="Q192" i="13"/>
  <c r="O192" i="13"/>
  <c r="M192" i="13"/>
  <c r="K192" i="13"/>
  <c r="X191" i="13"/>
  <c r="W191" i="13"/>
  <c r="V191" i="13"/>
  <c r="U191" i="13"/>
  <c r="T191" i="13"/>
  <c r="S191" i="13"/>
  <c r="Q191" i="13"/>
  <c r="O191" i="13"/>
  <c r="M191" i="13"/>
  <c r="K191" i="13"/>
  <c r="X190" i="13"/>
  <c r="W190" i="13"/>
  <c r="V190" i="13"/>
  <c r="U190" i="13"/>
  <c r="T190" i="13"/>
  <c r="S190" i="13"/>
  <c r="Q190" i="13"/>
  <c r="O190" i="13"/>
  <c r="M190" i="13"/>
  <c r="K190" i="13"/>
  <c r="X189" i="13"/>
  <c r="W189" i="13"/>
  <c r="V189" i="13"/>
  <c r="U189" i="13"/>
  <c r="T189" i="13"/>
  <c r="S189" i="13"/>
  <c r="Q189" i="13"/>
  <c r="O189" i="13"/>
  <c r="M189" i="13"/>
  <c r="K189" i="13"/>
  <c r="X188" i="13"/>
  <c r="W188" i="13"/>
  <c r="V188" i="13"/>
  <c r="U188" i="13"/>
  <c r="T188" i="13"/>
  <c r="S188" i="13"/>
  <c r="Q188" i="13"/>
  <c r="O188" i="13"/>
  <c r="M188" i="13"/>
  <c r="K188" i="13"/>
  <c r="X187" i="13"/>
  <c r="W187" i="13"/>
  <c r="V187" i="13"/>
  <c r="U187" i="13"/>
  <c r="T187" i="13"/>
  <c r="S187" i="13"/>
  <c r="Q187" i="13"/>
  <c r="O187" i="13"/>
  <c r="M187" i="13"/>
  <c r="K187" i="13"/>
  <c r="X186" i="13"/>
  <c r="W186" i="13"/>
  <c r="V186" i="13"/>
  <c r="U186" i="13"/>
  <c r="T186" i="13"/>
  <c r="S186" i="13"/>
  <c r="Q186" i="13"/>
  <c r="O186" i="13"/>
  <c r="M186" i="13"/>
  <c r="K186" i="13"/>
  <c r="X185" i="13"/>
  <c r="W185" i="13"/>
  <c r="V185" i="13"/>
  <c r="U185" i="13"/>
  <c r="T185" i="13"/>
  <c r="S185" i="13"/>
  <c r="Q185" i="13"/>
  <c r="O185" i="13"/>
  <c r="M185" i="13"/>
  <c r="K185" i="13"/>
  <c r="X184" i="13"/>
  <c r="W184" i="13"/>
  <c r="V184" i="13"/>
  <c r="U184" i="13"/>
  <c r="T184" i="13"/>
  <c r="S184" i="13"/>
  <c r="Q184" i="13"/>
  <c r="O184" i="13"/>
  <c r="M184" i="13"/>
  <c r="K184" i="13"/>
  <c r="X183" i="13"/>
  <c r="W183" i="13"/>
  <c r="V183" i="13"/>
  <c r="U183" i="13"/>
  <c r="T183" i="13"/>
  <c r="S183" i="13"/>
  <c r="Q183" i="13"/>
  <c r="O183" i="13"/>
  <c r="M183" i="13"/>
  <c r="K183" i="13"/>
  <c r="X182" i="13"/>
  <c r="W182" i="13"/>
  <c r="V182" i="13"/>
  <c r="U182" i="13"/>
  <c r="T182" i="13"/>
  <c r="S182" i="13"/>
  <c r="Q182" i="13"/>
  <c r="O182" i="13"/>
  <c r="M182" i="13"/>
  <c r="K182" i="13"/>
  <c r="X181" i="13"/>
  <c r="W181" i="13"/>
  <c r="V181" i="13"/>
  <c r="U181" i="13"/>
  <c r="T181" i="13"/>
  <c r="S181" i="13"/>
  <c r="Q181" i="13"/>
  <c r="O181" i="13"/>
  <c r="M181" i="13"/>
  <c r="K181" i="13"/>
  <c r="X180" i="13"/>
  <c r="W180" i="13"/>
  <c r="V180" i="13"/>
  <c r="U180" i="13"/>
  <c r="T180" i="13"/>
  <c r="S180" i="13"/>
  <c r="Q180" i="13"/>
  <c r="O180" i="13"/>
  <c r="M180" i="13"/>
  <c r="K180" i="13"/>
  <c r="X179" i="13"/>
  <c r="W179" i="13"/>
  <c r="V179" i="13"/>
  <c r="U179" i="13"/>
  <c r="T179" i="13"/>
  <c r="S179" i="13"/>
  <c r="Q179" i="13"/>
  <c r="O179" i="13"/>
  <c r="M179" i="13"/>
  <c r="K179" i="13"/>
  <c r="X178" i="13"/>
  <c r="W178" i="13"/>
  <c r="V178" i="13"/>
  <c r="U178" i="13"/>
  <c r="T178" i="13"/>
  <c r="S178" i="13"/>
  <c r="Q178" i="13"/>
  <c r="O178" i="13"/>
  <c r="M178" i="13"/>
  <c r="K178" i="13"/>
  <c r="X177" i="13"/>
  <c r="W177" i="13"/>
  <c r="V177" i="13"/>
  <c r="U177" i="13"/>
  <c r="T177" i="13"/>
  <c r="S177" i="13"/>
  <c r="Q177" i="13"/>
  <c r="O177" i="13"/>
  <c r="M177" i="13"/>
  <c r="K177" i="13"/>
  <c r="X176" i="13"/>
  <c r="W176" i="13"/>
  <c r="V176" i="13"/>
  <c r="U176" i="13"/>
  <c r="T176" i="13"/>
  <c r="S176" i="13"/>
  <c r="Q176" i="13"/>
  <c r="O176" i="13"/>
  <c r="M176" i="13"/>
  <c r="K176" i="13"/>
  <c r="X175" i="13"/>
  <c r="W175" i="13"/>
  <c r="V175" i="13"/>
  <c r="U175" i="13"/>
  <c r="T175" i="13"/>
  <c r="S175" i="13"/>
  <c r="Q175" i="13"/>
  <c r="O175" i="13"/>
  <c r="M175" i="13"/>
  <c r="K175" i="13"/>
  <c r="X174" i="13"/>
  <c r="W174" i="13"/>
  <c r="V174" i="13"/>
  <c r="U174" i="13"/>
  <c r="T174" i="13"/>
  <c r="S174" i="13"/>
  <c r="Q174" i="13"/>
  <c r="O174" i="13"/>
  <c r="M174" i="13"/>
  <c r="K174" i="13"/>
  <c r="X173" i="13"/>
  <c r="W173" i="13"/>
  <c r="V173" i="13"/>
  <c r="U173" i="13"/>
  <c r="T173" i="13"/>
  <c r="S173" i="13"/>
  <c r="Q173" i="13"/>
  <c r="O173" i="13"/>
  <c r="M173" i="13"/>
  <c r="K173" i="13"/>
  <c r="X172" i="13"/>
  <c r="W172" i="13"/>
  <c r="V172" i="13"/>
  <c r="U172" i="13"/>
  <c r="T172" i="13"/>
  <c r="S172" i="13"/>
  <c r="Q172" i="13"/>
  <c r="O172" i="13"/>
  <c r="M172" i="13"/>
  <c r="K172" i="13"/>
  <c r="X171" i="13"/>
  <c r="W171" i="13"/>
  <c r="V171" i="13"/>
  <c r="U171" i="13"/>
  <c r="T171" i="13"/>
  <c r="S171" i="13"/>
  <c r="Q171" i="13"/>
  <c r="O171" i="13"/>
  <c r="M171" i="13"/>
  <c r="K171" i="13"/>
  <c r="X170" i="13"/>
  <c r="W170" i="13"/>
  <c r="V170" i="13"/>
  <c r="U170" i="13"/>
  <c r="T170" i="13"/>
  <c r="S170" i="13"/>
  <c r="Q170" i="13"/>
  <c r="O170" i="13"/>
  <c r="M170" i="13"/>
  <c r="K170" i="13"/>
  <c r="X169" i="13"/>
  <c r="W169" i="13"/>
  <c r="V169" i="13"/>
  <c r="U169" i="13"/>
  <c r="T169" i="13"/>
  <c r="S169" i="13"/>
  <c r="Q169" i="13"/>
  <c r="O169" i="13"/>
  <c r="M169" i="13"/>
  <c r="K169" i="13"/>
  <c r="X168" i="13"/>
  <c r="W168" i="13"/>
  <c r="V168" i="13"/>
  <c r="U168" i="13"/>
  <c r="T168" i="13"/>
  <c r="S168" i="13"/>
  <c r="Q168" i="13"/>
  <c r="O168" i="13"/>
  <c r="M168" i="13"/>
  <c r="K168" i="13"/>
  <c r="X167" i="13"/>
  <c r="W167" i="13"/>
  <c r="V167" i="13"/>
  <c r="U167" i="13"/>
  <c r="T167" i="13"/>
  <c r="S167" i="13"/>
  <c r="Q167" i="13"/>
  <c r="O167" i="13"/>
  <c r="M167" i="13"/>
  <c r="K167" i="13"/>
  <c r="X166" i="13"/>
  <c r="W166" i="13"/>
  <c r="V166" i="13"/>
  <c r="U166" i="13"/>
  <c r="T166" i="13"/>
  <c r="S166" i="13"/>
  <c r="Q166" i="13"/>
  <c r="O166" i="13"/>
  <c r="M166" i="13"/>
  <c r="K166" i="13"/>
  <c r="X165" i="13"/>
  <c r="W165" i="13"/>
  <c r="V165" i="13"/>
  <c r="U165" i="13"/>
  <c r="T165" i="13"/>
  <c r="S165" i="13"/>
  <c r="Q165" i="13"/>
  <c r="O165" i="13"/>
  <c r="M165" i="13"/>
  <c r="K165" i="13"/>
  <c r="X164" i="13"/>
  <c r="W164" i="13"/>
  <c r="V164" i="13"/>
  <c r="U164" i="13"/>
  <c r="T164" i="13"/>
  <c r="S164" i="13"/>
  <c r="Q164" i="13"/>
  <c r="O164" i="13"/>
  <c r="M164" i="13"/>
  <c r="K164" i="13"/>
  <c r="X163" i="13"/>
  <c r="W163" i="13"/>
  <c r="V163" i="13"/>
  <c r="U163" i="13"/>
  <c r="T163" i="13"/>
  <c r="S163" i="13"/>
  <c r="Q163" i="13"/>
  <c r="O163" i="13"/>
  <c r="M163" i="13"/>
  <c r="K163" i="13"/>
  <c r="X162" i="13"/>
  <c r="W162" i="13"/>
  <c r="V162" i="13"/>
  <c r="U162" i="13"/>
  <c r="T162" i="13"/>
  <c r="S162" i="13"/>
  <c r="Q162" i="13"/>
  <c r="O162" i="13"/>
  <c r="M162" i="13"/>
  <c r="K162" i="13"/>
  <c r="X161" i="13"/>
  <c r="W161" i="13"/>
  <c r="V161" i="13"/>
  <c r="U161" i="13"/>
  <c r="T161" i="13"/>
  <c r="S161" i="13"/>
  <c r="Q161" i="13"/>
  <c r="O161" i="13"/>
  <c r="M161" i="13"/>
  <c r="K161" i="13"/>
  <c r="X160" i="13"/>
  <c r="W160" i="13"/>
  <c r="V160" i="13"/>
  <c r="U160" i="13"/>
  <c r="T160" i="13"/>
  <c r="S160" i="13"/>
  <c r="Q160" i="13"/>
  <c r="O160" i="13"/>
  <c r="M160" i="13"/>
  <c r="K160" i="13"/>
  <c r="X159" i="13"/>
  <c r="W159" i="13"/>
  <c r="V159" i="13"/>
  <c r="U159" i="13"/>
  <c r="T159" i="13"/>
  <c r="S159" i="13"/>
  <c r="Q159" i="13"/>
  <c r="O159" i="13"/>
  <c r="M159" i="13"/>
  <c r="K159" i="13"/>
  <c r="X158" i="13"/>
  <c r="W158" i="13"/>
  <c r="V158" i="13"/>
  <c r="U158" i="13"/>
  <c r="T158" i="13"/>
  <c r="S158" i="13"/>
  <c r="Q158" i="13"/>
  <c r="O158" i="13"/>
  <c r="M158" i="13"/>
  <c r="K158" i="13"/>
  <c r="X157" i="13"/>
  <c r="W157" i="13"/>
  <c r="V157" i="13"/>
  <c r="U157" i="13"/>
  <c r="T157" i="13"/>
  <c r="S157" i="13"/>
  <c r="Q157" i="13"/>
  <c r="O157" i="13"/>
  <c r="M157" i="13"/>
  <c r="K157" i="13"/>
  <c r="X156" i="13"/>
  <c r="W156" i="13"/>
  <c r="V156" i="13"/>
  <c r="U156" i="13"/>
  <c r="T156" i="13"/>
  <c r="S156" i="13"/>
  <c r="Q156" i="13"/>
  <c r="O156" i="13"/>
  <c r="M156" i="13"/>
  <c r="K156" i="13"/>
  <c r="X155" i="13"/>
  <c r="W155" i="13"/>
  <c r="V155" i="13"/>
  <c r="U155" i="13"/>
  <c r="T155" i="13"/>
  <c r="S155" i="13"/>
  <c r="Q155" i="13"/>
  <c r="O155" i="13"/>
  <c r="M155" i="13"/>
  <c r="K155" i="13"/>
  <c r="X154" i="13"/>
  <c r="W154" i="13"/>
  <c r="V154" i="13"/>
  <c r="U154" i="13"/>
  <c r="T154" i="13"/>
  <c r="S154" i="13"/>
  <c r="Q154" i="13"/>
  <c r="O154" i="13"/>
  <c r="M154" i="13"/>
  <c r="K154" i="13"/>
  <c r="X153" i="13"/>
  <c r="W153" i="13"/>
  <c r="V153" i="13"/>
  <c r="U153" i="13"/>
  <c r="T153" i="13"/>
  <c r="S153" i="13"/>
  <c r="Q153" i="13"/>
  <c r="O153" i="13"/>
  <c r="M153" i="13"/>
  <c r="K153" i="13"/>
  <c r="X152" i="13"/>
  <c r="W152" i="13"/>
  <c r="V152" i="13"/>
  <c r="U152" i="13"/>
  <c r="T152" i="13"/>
  <c r="S152" i="13"/>
  <c r="Q152" i="13"/>
  <c r="O152" i="13"/>
  <c r="M152" i="13"/>
  <c r="K152" i="13"/>
  <c r="X151" i="13"/>
  <c r="W151" i="13"/>
  <c r="V151" i="13"/>
  <c r="U151" i="13"/>
  <c r="T151" i="13"/>
  <c r="S151" i="13"/>
  <c r="Q151" i="13"/>
  <c r="O151" i="13"/>
  <c r="M151" i="13"/>
  <c r="K151" i="13"/>
  <c r="X150" i="13"/>
  <c r="W150" i="13"/>
  <c r="V150" i="13"/>
  <c r="U150" i="13"/>
  <c r="T150" i="13"/>
  <c r="S150" i="13"/>
  <c r="Q150" i="13"/>
  <c r="O150" i="13"/>
  <c r="M150" i="13"/>
  <c r="K150" i="13"/>
  <c r="X149" i="13"/>
  <c r="W149" i="13"/>
  <c r="V149" i="13"/>
  <c r="U149" i="13"/>
  <c r="T149" i="13"/>
  <c r="S149" i="13"/>
  <c r="Q149" i="13"/>
  <c r="O149" i="13"/>
  <c r="M149" i="13"/>
  <c r="K149" i="13"/>
  <c r="X148" i="13"/>
  <c r="W148" i="13"/>
  <c r="V148" i="13"/>
  <c r="U148" i="13"/>
  <c r="T148" i="13"/>
  <c r="S148" i="13"/>
  <c r="Q148" i="13"/>
  <c r="O148" i="13"/>
  <c r="M148" i="13"/>
  <c r="K148" i="13"/>
  <c r="X147" i="13"/>
  <c r="W147" i="13"/>
  <c r="V147" i="13"/>
  <c r="U147" i="13"/>
  <c r="T147" i="13"/>
  <c r="S147" i="13"/>
  <c r="Q147" i="13"/>
  <c r="O147" i="13"/>
  <c r="M147" i="13"/>
  <c r="K147" i="13"/>
  <c r="X146" i="13"/>
  <c r="W146" i="13"/>
  <c r="V146" i="13"/>
  <c r="U146" i="13"/>
  <c r="T146" i="13"/>
  <c r="S146" i="13"/>
  <c r="Q146" i="13"/>
  <c r="O146" i="13"/>
  <c r="M146" i="13"/>
  <c r="K146" i="13"/>
  <c r="X145" i="13"/>
  <c r="W145" i="13"/>
  <c r="V145" i="13"/>
  <c r="U145" i="13"/>
  <c r="T145" i="13"/>
  <c r="S145" i="13"/>
  <c r="Q145" i="13"/>
  <c r="O145" i="13"/>
  <c r="M145" i="13"/>
  <c r="K145" i="13"/>
  <c r="X144" i="13"/>
  <c r="W144" i="13"/>
  <c r="V144" i="13"/>
  <c r="U144" i="13"/>
  <c r="T144" i="13"/>
  <c r="S144" i="13"/>
  <c r="Q144" i="13"/>
  <c r="O144" i="13"/>
  <c r="M144" i="13"/>
  <c r="K144" i="13"/>
  <c r="X143" i="13"/>
  <c r="W143" i="13"/>
  <c r="V143" i="13"/>
  <c r="U143" i="13"/>
  <c r="T143" i="13"/>
  <c r="S143" i="13"/>
  <c r="Q143" i="13"/>
  <c r="O143" i="13"/>
  <c r="M143" i="13"/>
  <c r="K143" i="13"/>
  <c r="X142" i="13"/>
  <c r="W142" i="13"/>
  <c r="V142" i="13"/>
  <c r="U142" i="13"/>
  <c r="T142" i="13"/>
  <c r="S142" i="13"/>
  <c r="Q142" i="13"/>
  <c r="O142" i="13"/>
  <c r="M142" i="13"/>
  <c r="K142" i="13"/>
  <c r="X141" i="13"/>
  <c r="W141" i="13"/>
  <c r="V141" i="13"/>
  <c r="U141" i="13"/>
  <c r="T141" i="13"/>
  <c r="S141" i="13"/>
  <c r="Q141" i="13"/>
  <c r="O141" i="13"/>
  <c r="M141" i="13"/>
  <c r="K141" i="13"/>
  <c r="X140" i="13"/>
  <c r="W140" i="13"/>
  <c r="V140" i="13"/>
  <c r="U140" i="13"/>
  <c r="T140" i="13"/>
  <c r="S140" i="13"/>
  <c r="Q140" i="13"/>
  <c r="O140" i="13"/>
  <c r="M140" i="13"/>
  <c r="K140" i="13"/>
  <c r="X139" i="13"/>
  <c r="W139" i="13"/>
  <c r="V139" i="13"/>
  <c r="U139" i="13"/>
  <c r="T139" i="13"/>
  <c r="S139" i="13"/>
  <c r="Q139" i="13"/>
  <c r="O139" i="13"/>
  <c r="M139" i="13"/>
  <c r="K139" i="13"/>
  <c r="X138" i="13"/>
  <c r="W138" i="13"/>
  <c r="V138" i="13"/>
  <c r="U138" i="13"/>
  <c r="T138" i="13"/>
  <c r="S138" i="13"/>
  <c r="Q138" i="13"/>
  <c r="O138" i="13"/>
  <c r="M138" i="13"/>
  <c r="K138" i="13"/>
  <c r="X137" i="13"/>
  <c r="W137" i="13"/>
  <c r="V137" i="13"/>
  <c r="U137" i="13"/>
  <c r="T137" i="13"/>
  <c r="S137" i="13"/>
  <c r="Q137" i="13"/>
  <c r="O137" i="13"/>
  <c r="M137" i="13"/>
  <c r="K137" i="13"/>
  <c r="X136" i="13"/>
  <c r="W136" i="13"/>
  <c r="V136" i="13"/>
  <c r="U136" i="13"/>
  <c r="T136" i="13"/>
  <c r="S136" i="13"/>
  <c r="Q136" i="13"/>
  <c r="O136" i="13"/>
  <c r="M136" i="13"/>
  <c r="K136" i="13"/>
  <c r="X135" i="13"/>
  <c r="W135" i="13"/>
  <c r="V135" i="13"/>
  <c r="U135" i="13"/>
  <c r="T135" i="13"/>
  <c r="S135" i="13"/>
  <c r="Q135" i="13"/>
  <c r="O135" i="13"/>
  <c r="M135" i="13"/>
  <c r="K135" i="13"/>
  <c r="X134" i="13"/>
  <c r="W134" i="13"/>
  <c r="V134" i="13"/>
  <c r="U134" i="13"/>
  <c r="T134" i="13"/>
  <c r="S134" i="13"/>
  <c r="Q134" i="13"/>
  <c r="O134" i="13"/>
  <c r="M134" i="13"/>
  <c r="K134" i="13"/>
  <c r="X133" i="13"/>
  <c r="W133" i="13"/>
  <c r="V133" i="13"/>
  <c r="U133" i="13"/>
  <c r="T133" i="13"/>
  <c r="S133" i="13"/>
  <c r="Q133" i="13"/>
  <c r="O133" i="13"/>
  <c r="M133" i="13"/>
  <c r="K133" i="13"/>
  <c r="X132" i="13"/>
  <c r="W132" i="13"/>
  <c r="V132" i="13"/>
  <c r="U132" i="13"/>
  <c r="T132" i="13"/>
  <c r="S132" i="13"/>
  <c r="Q132" i="13"/>
  <c r="O132" i="13"/>
  <c r="M132" i="13"/>
  <c r="K132" i="13"/>
  <c r="X131" i="13"/>
  <c r="W131" i="13"/>
  <c r="V131" i="13"/>
  <c r="U131" i="13"/>
  <c r="T131" i="13"/>
  <c r="S131" i="13"/>
  <c r="Q131" i="13"/>
  <c r="O131" i="13"/>
  <c r="M131" i="13"/>
  <c r="K131" i="13"/>
  <c r="X130" i="13"/>
  <c r="W130" i="13"/>
  <c r="V130" i="13"/>
  <c r="U130" i="13"/>
  <c r="T130" i="13"/>
  <c r="S130" i="13"/>
  <c r="Q130" i="13"/>
  <c r="O130" i="13"/>
  <c r="M130" i="13"/>
  <c r="K130" i="13"/>
  <c r="X129" i="13"/>
  <c r="W129" i="13"/>
  <c r="V129" i="13"/>
  <c r="U129" i="13"/>
  <c r="T129" i="13"/>
  <c r="S129" i="13"/>
  <c r="Q129" i="13"/>
  <c r="O129" i="13"/>
  <c r="M129" i="13"/>
  <c r="K129" i="13"/>
  <c r="X128" i="13"/>
  <c r="W128" i="13"/>
  <c r="V128" i="13"/>
  <c r="U128" i="13"/>
  <c r="T128" i="13"/>
  <c r="S128" i="13"/>
  <c r="Q128" i="13"/>
  <c r="O128" i="13"/>
  <c r="M128" i="13"/>
  <c r="K128" i="13"/>
  <c r="X127" i="13"/>
  <c r="W127" i="13"/>
  <c r="V127" i="13"/>
  <c r="U127" i="13"/>
  <c r="T127" i="13"/>
  <c r="S127" i="13"/>
  <c r="Q127" i="13"/>
  <c r="O127" i="13"/>
  <c r="M127" i="13"/>
  <c r="K127" i="13"/>
  <c r="X126" i="13"/>
  <c r="W126" i="13"/>
  <c r="V126" i="13"/>
  <c r="U126" i="13"/>
  <c r="T126" i="13"/>
  <c r="S126" i="13"/>
  <c r="Q126" i="13"/>
  <c r="O126" i="13"/>
  <c r="M126" i="13"/>
  <c r="K126" i="13"/>
  <c r="X125" i="13"/>
  <c r="W125" i="13"/>
  <c r="V125" i="13"/>
  <c r="U125" i="13"/>
  <c r="T125" i="13"/>
  <c r="S125" i="13"/>
  <c r="Q125" i="13"/>
  <c r="O125" i="13"/>
  <c r="M125" i="13"/>
  <c r="K125" i="13"/>
  <c r="X124" i="13"/>
  <c r="W124" i="13"/>
  <c r="V124" i="13"/>
  <c r="U124" i="13"/>
  <c r="T124" i="13"/>
  <c r="S124" i="13"/>
  <c r="Q124" i="13"/>
  <c r="O124" i="13"/>
  <c r="M124" i="13"/>
  <c r="K124" i="13"/>
  <c r="X123" i="13"/>
  <c r="W123" i="13"/>
  <c r="V123" i="13"/>
  <c r="U123" i="13"/>
  <c r="T123" i="13"/>
  <c r="S123" i="13"/>
  <c r="Q123" i="13"/>
  <c r="O123" i="13"/>
  <c r="M123" i="13"/>
  <c r="K123" i="13"/>
  <c r="X122" i="13"/>
  <c r="W122" i="13"/>
  <c r="V122" i="13"/>
  <c r="U122" i="13"/>
  <c r="T122" i="13"/>
  <c r="S122" i="13"/>
  <c r="Q122" i="13"/>
  <c r="O122" i="13"/>
  <c r="M122" i="13"/>
  <c r="K122" i="13"/>
  <c r="X121" i="13"/>
  <c r="W121" i="13"/>
  <c r="V121" i="13"/>
  <c r="U121" i="13"/>
  <c r="T121" i="13"/>
  <c r="S121" i="13"/>
  <c r="Q121" i="13"/>
  <c r="O121" i="13"/>
  <c r="M121" i="13"/>
  <c r="K121" i="13"/>
  <c r="X120" i="13"/>
  <c r="W120" i="13"/>
  <c r="V120" i="13"/>
  <c r="U120" i="13"/>
  <c r="T120" i="13"/>
  <c r="S120" i="13"/>
  <c r="Q120" i="13"/>
  <c r="O120" i="13"/>
  <c r="M120" i="13"/>
  <c r="K120" i="13"/>
  <c r="X119" i="13"/>
  <c r="W119" i="13"/>
  <c r="V119" i="13"/>
  <c r="U119" i="13"/>
  <c r="T119" i="13"/>
  <c r="S119" i="13"/>
  <c r="Q119" i="13"/>
  <c r="O119" i="13"/>
  <c r="M119" i="13"/>
  <c r="K119" i="13"/>
  <c r="X118" i="13"/>
  <c r="W118" i="13"/>
  <c r="V118" i="13"/>
  <c r="U118" i="13"/>
  <c r="T118" i="13"/>
  <c r="S118" i="13"/>
  <c r="Q118" i="13"/>
  <c r="O118" i="13"/>
  <c r="M118" i="13"/>
  <c r="K118" i="13"/>
  <c r="X117" i="13"/>
  <c r="W117" i="13"/>
  <c r="V117" i="13"/>
  <c r="U117" i="13"/>
  <c r="T117" i="13"/>
  <c r="S117" i="13"/>
  <c r="Q117" i="13"/>
  <c r="O117" i="13"/>
  <c r="M117" i="13"/>
  <c r="K117" i="13"/>
  <c r="X116" i="13"/>
  <c r="W116" i="13"/>
  <c r="V116" i="13"/>
  <c r="U116" i="13"/>
  <c r="T116" i="13"/>
  <c r="S116" i="13"/>
  <c r="Q116" i="13"/>
  <c r="O116" i="13"/>
  <c r="M116" i="13"/>
  <c r="K116" i="13"/>
  <c r="X115" i="13"/>
  <c r="W115" i="13"/>
  <c r="V115" i="13"/>
  <c r="U115" i="13"/>
  <c r="T115" i="13"/>
  <c r="S115" i="13"/>
  <c r="Q115" i="13"/>
  <c r="O115" i="13"/>
  <c r="M115" i="13"/>
  <c r="K115" i="13"/>
  <c r="X114" i="13"/>
  <c r="W114" i="13"/>
  <c r="V114" i="13"/>
  <c r="U114" i="13"/>
  <c r="T114" i="13"/>
  <c r="S114" i="13"/>
  <c r="Q114" i="13"/>
  <c r="O114" i="13"/>
  <c r="M114" i="13"/>
  <c r="K114" i="13"/>
  <c r="X113" i="13"/>
  <c r="W113" i="13"/>
  <c r="V113" i="13"/>
  <c r="U113" i="13"/>
  <c r="T113" i="13"/>
  <c r="S113" i="13"/>
  <c r="Q113" i="13"/>
  <c r="O113" i="13"/>
  <c r="M113" i="13"/>
  <c r="K113" i="13"/>
  <c r="X112" i="13"/>
  <c r="W112" i="13"/>
  <c r="V112" i="13"/>
  <c r="U112" i="13"/>
  <c r="T112" i="13"/>
  <c r="S112" i="13"/>
  <c r="Q112" i="13"/>
  <c r="O112" i="13"/>
  <c r="M112" i="13"/>
  <c r="K112" i="13"/>
  <c r="X111" i="13"/>
  <c r="W111" i="13"/>
  <c r="V111" i="13"/>
  <c r="U111" i="13"/>
  <c r="T111" i="13"/>
  <c r="S111" i="13"/>
  <c r="Q111" i="13"/>
  <c r="O111" i="13"/>
  <c r="M111" i="13"/>
  <c r="K111" i="13"/>
  <c r="X110" i="13"/>
  <c r="W110" i="13"/>
  <c r="V110" i="13"/>
  <c r="U110" i="13"/>
  <c r="T110" i="13"/>
  <c r="S110" i="13"/>
  <c r="Q110" i="13"/>
  <c r="O110" i="13"/>
  <c r="M110" i="13"/>
  <c r="K110" i="13"/>
  <c r="X109" i="13"/>
  <c r="W109" i="13"/>
  <c r="V109" i="13"/>
  <c r="U109" i="13"/>
  <c r="T109" i="13"/>
  <c r="S109" i="13"/>
  <c r="Q109" i="13"/>
  <c r="O109" i="13"/>
  <c r="M109" i="13"/>
  <c r="K109" i="13"/>
  <c r="X108" i="13"/>
  <c r="W108" i="13"/>
  <c r="V108" i="13"/>
  <c r="U108" i="13"/>
  <c r="T108" i="13"/>
  <c r="S108" i="13"/>
  <c r="Q108" i="13"/>
  <c r="O108" i="13"/>
  <c r="M108" i="13"/>
  <c r="K108" i="13"/>
  <c r="X107" i="13"/>
  <c r="W107" i="13"/>
  <c r="V107" i="13"/>
  <c r="U107" i="13"/>
  <c r="T107" i="13"/>
  <c r="S107" i="13"/>
  <c r="Q107" i="13"/>
  <c r="O107" i="13"/>
  <c r="M107" i="13"/>
  <c r="K107" i="13"/>
  <c r="X106" i="13"/>
  <c r="W106" i="13"/>
  <c r="V106" i="13"/>
  <c r="U106" i="13"/>
  <c r="T106" i="13"/>
  <c r="S106" i="13"/>
  <c r="Q106" i="13"/>
  <c r="O106" i="13"/>
  <c r="M106" i="13"/>
  <c r="K106" i="13"/>
  <c r="X105" i="13"/>
  <c r="W105" i="13"/>
  <c r="V105" i="13"/>
  <c r="U105" i="13"/>
  <c r="T105" i="13"/>
  <c r="S105" i="13"/>
  <c r="Q105" i="13"/>
  <c r="O105" i="13"/>
  <c r="M105" i="13"/>
  <c r="K105" i="13"/>
  <c r="X104" i="13"/>
  <c r="W104" i="13"/>
  <c r="V104" i="13"/>
  <c r="U104" i="13"/>
  <c r="T104" i="13"/>
  <c r="S104" i="13"/>
  <c r="Q104" i="13"/>
  <c r="O104" i="13"/>
  <c r="M104" i="13"/>
  <c r="K104" i="13"/>
  <c r="X103" i="13"/>
  <c r="W103" i="13"/>
  <c r="V103" i="13"/>
  <c r="U103" i="13"/>
  <c r="T103" i="13"/>
  <c r="S103" i="13"/>
  <c r="Q103" i="13"/>
  <c r="O103" i="13"/>
  <c r="M103" i="13"/>
  <c r="K103" i="13"/>
  <c r="X102" i="13"/>
  <c r="W102" i="13"/>
  <c r="V102" i="13"/>
  <c r="U102" i="13"/>
  <c r="T102" i="13"/>
  <c r="S102" i="13"/>
  <c r="Q102" i="13"/>
  <c r="O102" i="13"/>
  <c r="M102" i="13"/>
  <c r="K102" i="13"/>
  <c r="X101" i="13"/>
  <c r="W101" i="13"/>
  <c r="V101" i="13"/>
  <c r="U101" i="13"/>
  <c r="T101" i="13"/>
  <c r="S101" i="13"/>
  <c r="Q101" i="13"/>
  <c r="O101" i="13"/>
  <c r="M101" i="13"/>
  <c r="K101" i="13"/>
  <c r="X100" i="13"/>
  <c r="W100" i="13"/>
  <c r="V100" i="13"/>
  <c r="U100" i="13"/>
  <c r="T100" i="13"/>
  <c r="S100" i="13"/>
  <c r="Q100" i="13"/>
  <c r="O100" i="13"/>
  <c r="M100" i="13"/>
  <c r="K100" i="13"/>
  <c r="X99" i="13"/>
  <c r="W99" i="13"/>
  <c r="V99" i="13"/>
  <c r="U99" i="13"/>
  <c r="T99" i="13"/>
  <c r="S99" i="13"/>
  <c r="Q99" i="13"/>
  <c r="O99" i="13"/>
  <c r="M99" i="13"/>
  <c r="K99" i="13"/>
  <c r="X98" i="13"/>
  <c r="W98" i="13"/>
  <c r="V98" i="13"/>
  <c r="U98" i="13"/>
  <c r="T98" i="13"/>
  <c r="S98" i="13"/>
  <c r="Q98" i="13"/>
  <c r="O98" i="13"/>
  <c r="M98" i="13"/>
  <c r="K98" i="13"/>
  <c r="X97" i="13"/>
  <c r="W97" i="13"/>
  <c r="V97" i="13"/>
  <c r="U97" i="13"/>
  <c r="T97" i="13"/>
  <c r="S97" i="13"/>
  <c r="Q97" i="13"/>
  <c r="O97" i="13"/>
  <c r="M97" i="13"/>
  <c r="K97" i="13"/>
  <c r="X96" i="13"/>
  <c r="W96" i="13"/>
  <c r="V96" i="13"/>
  <c r="U96" i="13"/>
  <c r="T96" i="13"/>
  <c r="S96" i="13"/>
  <c r="Q96" i="13"/>
  <c r="O96" i="13"/>
  <c r="M96" i="13"/>
  <c r="K96" i="13"/>
  <c r="X95" i="13"/>
  <c r="W95" i="13"/>
  <c r="V95" i="13"/>
  <c r="U95" i="13"/>
  <c r="T95" i="13"/>
  <c r="S95" i="13"/>
  <c r="Q95" i="13"/>
  <c r="O95" i="13"/>
  <c r="M95" i="13"/>
  <c r="K95" i="13"/>
  <c r="X94" i="13"/>
  <c r="W94" i="13"/>
  <c r="V94" i="13"/>
  <c r="U94" i="13"/>
  <c r="T94" i="13"/>
  <c r="S94" i="13"/>
  <c r="Q94" i="13"/>
  <c r="O94" i="13"/>
  <c r="M94" i="13"/>
  <c r="K94" i="13"/>
  <c r="X93" i="13"/>
  <c r="W93" i="13"/>
  <c r="V93" i="13"/>
  <c r="U93" i="13"/>
  <c r="T93" i="13"/>
  <c r="S93" i="13"/>
  <c r="Q93" i="13"/>
  <c r="O93" i="13"/>
  <c r="M93" i="13"/>
  <c r="K93" i="13"/>
  <c r="X92" i="13"/>
  <c r="W92" i="13"/>
  <c r="V92" i="13"/>
  <c r="U92" i="13"/>
  <c r="T92" i="13"/>
  <c r="S92" i="13"/>
  <c r="Q92" i="13"/>
  <c r="O92" i="13"/>
  <c r="M92" i="13"/>
  <c r="K92" i="13"/>
  <c r="X91" i="13"/>
  <c r="W91" i="13"/>
  <c r="V91" i="13"/>
  <c r="U91" i="13"/>
  <c r="T91" i="13"/>
  <c r="S91" i="13"/>
  <c r="Q91" i="13"/>
  <c r="O91" i="13"/>
  <c r="M91" i="13"/>
  <c r="K91" i="13"/>
  <c r="X90" i="13"/>
  <c r="W90" i="13"/>
  <c r="V90" i="13"/>
  <c r="U90" i="13"/>
  <c r="T90" i="13"/>
  <c r="S90" i="13"/>
  <c r="Q90" i="13"/>
  <c r="O90" i="13"/>
  <c r="M90" i="13"/>
  <c r="K90" i="13"/>
  <c r="X89" i="13"/>
  <c r="W89" i="13"/>
  <c r="V89" i="13"/>
  <c r="U89" i="13"/>
  <c r="T89" i="13"/>
  <c r="S89" i="13"/>
  <c r="Q89" i="13"/>
  <c r="O89" i="13"/>
  <c r="M89" i="13"/>
  <c r="K89" i="13"/>
  <c r="X88" i="13"/>
  <c r="W88" i="13"/>
  <c r="V88" i="13"/>
  <c r="U88" i="13"/>
  <c r="T88" i="13"/>
  <c r="S88" i="13"/>
  <c r="Q88" i="13"/>
  <c r="O88" i="13"/>
  <c r="M88" i="13"/>
  <c r="K88" i="13"/>
  <c r="X87" i="13"/>
  <c r="W87" i="13"/>
  <c r="V87" i="13"/>
  <c r="U87" i="13"/>
  <c r="T87" i="13"/>
  <c r="S87" i="13"/>
  <c r="Q87" i="13"/>
  <c r="O87" i="13"/>
  <c r="M87" i="13"/>
  <c r="K87" i="13"/>
  <c r="X86" i="13"/>
  <c r="W86" i="13"/>
  <c r="V86" i="13"/>
  <c r="U86" i="13"/>
  <c r="T86" i="13"/>
  <c r="S86" i="13"/>
  <c r="Q86" i="13"/>
  <c r="O86" i="13"/>
  <c r="M86" i="13"/>
  <c r="K86" i="13"/>
  <c r="X85" i="13"/>
  <c r="W85" i="13"/>
  <c r="V85" i="13"/>
  <c r="U85" i="13"/>
  <c r="T85" i="13"/>
  <c r="S85" i="13"/>
  <c r="Q85" i="13"/>
  <c r="O85" i="13"/>
  <c r="M85" i="13"/>
  <c r="K85" i="13"/>
  <c r="X84" i="13"/>
  <c r="W84" i="13"/>
  <c r="V84" i="13"/>
  <c r="U84" i="13"/>
  <c r="T84" i="13"/>
  <c r="S84" i="13"/>
  <c r="Q84" i="13"/>
  <c r="O84" i="13"/>
  <c r="M84" i="13"/>
  <c r="K84" i="13"/>
  <c r="X83" i="13"/>
  <c r="W83" i="13"/>
  <c r="V83" i="13"/>
  <c r="U83" i="13"/>
  <c r="T83" i="13"/>
  <c r="S83" i="13"/>
  <c r="Q83" i="13"/>
  <c r="O83" i="13"/>
  <c r="M83" i="13"/>
  <c r="K83" i="13"/>
  <c r="X82" i="13"/>
  <c r="W82" i="13"/>
  <c r="V82" i="13"/>
  <c r="U82" i="13"/>
  <c r="T82" i="13"/>
  <c r="S82" i="13"/>
  <c r="Q82" i="13"/>
  <c r="O82" i="13"/>
  <c r="M82" i="13"/>
  <c r="K82" i="13"/>
  <c r="X81" i="13"/>
  <c r="W81" i="13"/>
  <c r="V81" i="13"/>
  <c r="U81" i="13"/>
  <c r="T81" i="13"/>
  <c r="S81" i="13"/>
  <c r="Q81" i="13"/>
  <c r="O81" i="13"/>
  <c r="M81" i="13"/>
  <c r="K81" i="13"/>
  <c r="X80" i="13"/>
  <c r="W80" i="13"/>
  <c r="V80" i="13"/>
  <c r="U80" i="13"/>
  <c r="T80" i="13"/>
  <c r="S80" i="13"/>
  <c r="Q80" i="13"/>
  <c r="O80" i="13"/>
  <c r="M80" i="13"/>
  <c r="K80" i="13"/>
  <c r="X79" i="13"/>
  <c r="W79" i="13"/>
  <c r="V79" i="13"/>
  <c r="U79" i="13"/>
  <c r="T79" i="13"/>
  <c r="S79" i="13"/>
  <c r="Q79" i="13"/>
  <c r="O79" i="13"/>
  <c r="M79" i="13"/>
  <c r="K79" i="13"/>
  <c r="X78" i="13"/>
  <c r="W78" i="13"/>
  <c r="V78" i="13"/>
  <c r="U78" i="13"/>
  <c r="T78" i="13"/>
  <c r="S78" i="13"/>
  <c r="Q78" i="13"/>
  <c r="O78" i="13"/>
  <c r="M78" i="13"/>
  <c r="K78" i="13"/>
  <c r="X77" i="13"/>
  <c r="W77" i="13"/>
  <c r="V77" i="13"/>
  <c r="U77" i="13"/>
  <c r="T77" i="13"/>
  <c r="S77" i="13"/>
  <c r="Q77" i="13"/>
  <c r="O77" i="13"/>
  <c r="M77" i="13"/>
  <c r="K77" i="13"/>
  <c r="X76" i="13"/>
  <c r="W76" i="13"/>
  <c r="V76" i="13"/>
  <c r="U76" i="13"/>
  <c r="T76" i="13"/>
  <c r="S76" i="13"/>
  <c r="Q76" i="13"/>
  <c r="O76" i="13"/>
  <c r="M76" i="13"/>
  <c r="K76" i="13"/>
  <c r="X75" i="13"/>
  <c r="W75" i="13"/>
  <c r="V75" i="13"/>
  <c r="U75" i="13"/>
  <c r="T75" i="13"/>
  <c r="S75" i="13"/>
  <c r="Q75" i="13"/>
  <c r="O75" i="13"/>
  <c r="M75" i="13"/>
  <c r="K75" i="13"/>
  <c r="X74" i="13"/>
  <c r="W74" i="13"/>
  <c r="V74" i="13"/>
  <c r="U74" i="13"/>
  <c r="T74" i="13"/>
  <c r="S74" i="13"/>
  <c r="Q74" i="13"/>
  <c r="O74" i="13"/>
  <c r="M74" i="13"/>
  <c r="K74" i="13"/>
  <c r="X73" i="13"/>
  <c r="W73" i="13"/>
  <c r="V73" i="13"/>
  <c r="U73" i="13"/>
  <c r="T73" i="13"/>
  <c r="S73" i="13"/>
  <c r="Q73" i="13"/>
  <c r="O73" i="13"/>
  <c r="M73" i="13"/>
  <c r="K73" i="13"/>
  <c r="X72" i="13"/>
  <c r="W72" i="13"/>
  <c r="V72" i="13"/>
  <c r="U72" i="13"/>
  <c r="T72" i="13"/>
  <c r="S72" i="13"/>
  <c r="Q72" i="13"/>
  <c r="O72" i="13"/>
  <c r="M72" i="13"/>
  <c r="K72" i="13"/>
  <c r="X71" i="13"/>
  <c r="W71" i="13"/>
  <c r="V71" i="13"/>
  <c r="U71" i="13"/>
  <c r="T71" i="13"/>
  <c r="S71" i="13"/>
  <c r="Q71" i="13"/>
  <c r="O71" i="13"/>
  <c r="M71" i="13"/>
  <c r="K71" i="13"/>
  <c r="X70" i="13"/>
  <c r="W70" i="13"/>
  <c r="V70" i="13"/>
  <c r="U70" i="13"/>
  <c r="T70" i="13"/>
  <c r="S70" i="13"/>
  <c r="Q70" i="13"/>
  <c r="O70" i="13"/>
  <c r="M70" i="13"/>
  <c r="K70" i="13"/>
  <c r="X69" i="13"/>
  <c r="W69" i="13"/>
  <c r="V69" i="13"/>
  <c r="U69" i="13"/>
  <c r="T69" i="13"/>
  <c r="S69" i="13"/>
  <c r="Q69" i="13"/>
  <c r="O69" i="13"/>
  <c r="M69" i="13"/>
  <c r="K69" i="13"/>
  <c r="X68" i="13"/>
  <c r="W68" i="13"/>
  <c r="V68" i="13"/>
  <c r="U68" i="13"/>
  <c r="T68" i="13"/>
  <c r="S68" i="13"/>
  <c r="Q68" i="13"/>
  <c r="O68" i="13"/>
  <c r="M68" i="13"/>
  <c r="K68" i="13"/>
  <c r="X67" i="13"/>
  <c r="W67" i="13"/>
  <c r="V67" i="13"/>
  <c r="U67" i="13"/>
  <c r="T67" i="13"/>
  <c r="S67" i="13"/>
  <c r="Q67" i="13"/>
  <c r="O67" i="13"/>
  <c r="M67" i="13"/>
  <c r="K67" i="13"/>
  <c r="X66" i="13"/>
  <c r="W66" i="13"/>
  <c r="V66" i="13"/>
  <c r="U66" i="13"/>
  <c r="T66" i="13"/>
  <c r="S66" i="13"/>
  <c r="Q66" i="13"/>
  <c r="O66" i="13"/>
  <c r="M66" i="13"/>
  <c r="K66" i="13"/>
  <c r="X65" i="13"/>
  <c r="W65" i="13"/>
  <c r="V65" i="13"/>
  <c r="U65" i="13"/>
  <c r="T65" i="13"/>
  <c r="S65" i="13"/>
  <c r="Q65" i="13"/>
  <c r="O65" i="13"/>
  <c r="M65" i="13"/>
  <c r="K65" i="13"/>
  <c r="X64" i="13"/>
  <c r="W64" i="13"/>
  <c r="V64" i="13"/>
  <c r="U64" i="13"/>
  <c r="T64" i="13"/>
  <c r="S64" i="13"/>
  <c r="Q64" i="13"/>
  <c r="O64" i="13"/>
  <c r="M64" i="13"/>
  <c r="K64" i="13"/>
  <c r="X63" i="13"/>
  <c r="W63" i="13"/>
  <c r="V63" i="13"/>
  <c r="U63" i="13"/>
  <c r="T63" i="13"/>
  <c r="S63" i="13"/>
  <c r="Q63" i="13"/>
  <c r="O63" i="13"/>
  <c r="M63" i="13"/>
  <c r="K63" i="13"/>
  <c r="X62" i="13"/>
  <c r="W62" i="13"/>
  <c r="V62" i="13"/>
  <c r="U62" i="13"/>
  <c r="T62" i="13"/>
  <c r="S62" i="13"/>
  <c r="Q62" i="13"/>
  <c r="O62" i="13"/>
  <c r="M62" i="13"/>
  <c r="K62" i="13"/>
  <c r="X61" i="13"/>
  <c r="W61" i="13"/>
  <c r="V61" i="13"/>
  <c r="U61" i="13"/>
  <c r="T61" i="13"/>
  <c r="S61" i="13"/>
  <c r="Q61" i="13"/>
  <c r="O61" i="13"/>
  <c r="M61" i="13"/>
  <c r="K61" i="13"/>
  <c r="X60" i="13"/>
  <c r="W60" i="13"/>
  <c r="V60" i="13"/>
  <c r="U60" i="13"/>
  <c r="T60" i="13"/>
  <c r="S60" i="13"/>
  <c r="Q60" i="13"/>
  <c r="O60" i="13"/>
  <c r="M60" i="13"/>
  <c r="K60" i="13"/>
  <c r="X59" i="13"/>
  <c r="W59" i="13"/>
  <c r="V59" i="13"/>
  <c r="U59" i="13"/>
  <c r="T59" i="13"/>
  <c r="S59" i="13"/>
  <c r="Q59" i="13"/>
  <c r="O59" i="13"/>
  <c r="M59" i="13"/>
  <c r="K59" i="13"/>
  <c r="X58" i="13"/>
  <c r="W58" i="13"/>
  <c r="V58" i="13"/>
  <c r="U58" i="13"/>
  <c r="T58" i="13"/>
  <c r="S58" i="13"/>
  <c r="Q58" i="13"/>
  <c r="O58" i="13"/>
  <c r="M58" i="13"/>
  <c r="K58" i="13"/>
  <c r="X57" i="13"/>
  <c r="W57" i="13"/>
  <c r="V57" i="13"/>
  <c r="U57" i="13"/>
  <c r="T57" i="13"/>
  <c r="S57" i="13"/>
  <c r="Q57" i="13"/>
  <c r="O57" i="13"/>
  <c r="M57" i="13"/>
  <c r="K57" i="13"/>
  <c r="X56" i="13"/>
  <c r="W56" i="13"/>
  <c r="V56" i="13"/>
  <c r="U56" i="13"/>
  <c r="T56" i="13"/>
  <c r="S56" i="13"/>
  <c r="Q56" i="13"/>
  <c r="O56" i="13"/>
  <c r="M56" i="13"/>
  <c r="K56" i="13"/>
  <c r="X55" i="13"/>
  <c r="W55" i="13"/>
  <c r="V55" i="13"/>
  <c r="U55" i="13"/>
  <c r="T55" i="13"/>
  <c r="S55" i="13"/>
  <c r="Q55" i="13"/>
  <c r="O55" i="13"/>
  <c r="M55" i="13"/>
  <c r="K55" i="13"/>
  <c r="X54" i="13"/>
  <c r="W54" i="13"/>
  <c r="V54" i="13"/>
  <c r="U54" i="13"/>
  <c r="T54" i="13"/>
  <c r="S54" i="13"/>
  <c r="Q54" i="13"/>
  <c r="O54" i="13"/>
  <c r="M54" i="13"/>
  <c r="K54" i="13"/>
  <c r="X53" i="13"/>
  <c r="W53" i="13"/>
  <c r="V53" i="13"/>
  <c r="U53" i="13"/>
  <c r="T53" i="13"/>
  <c r="S53" i="13"/>
  <c r="Q53" i="13"/>
  <c r="O53" i="13"/>
  <c r="M53" i="13"/>
  <c r="K53" i="13"/>
  <c r="X52" i="13"/>
  <c r="W52" i="13"/>
  <c r="V52" i="13"/>
  <c r="U52" i="13"/>
  <c r="T52" i="13"/>
  <c r="S52" i="13"/>
  <c r="Q52" i="13"/>
  <c r="O52" i="13"/>
  <c r="M52" i="13"/>
  <c r="K52" i="13"/>
  <c r="X51" i="13"/>
  <c r="W51" i="13"/>
  <c r="V51" i="13"/>
  <c r="U51" i="13"/>
  <c r="T51" i="13"/>
  <c r="S51" i="13"/>
  <c r="Q51" i="13"/>
  <c r="O51" i="13"/>
  <c r="M51" i="13"/>
  <c r="K51" i="13"/>
  <c r="X50" i="13"/>
  <c r="W50" i="13"/>
  <c r="V50" i="13"/>
  <c r="U50" i="13"/>
  <c r="T50" i="13"/>
  <c r="S50" i="13"/>
  <c r="Q50" i="13"/>
  <c r="O50" i="13"/>
  <c r="M50" i="13"/>
  <c r="K50" i="13"/>
  <c r="X49" i="13"/>
  <c r="W49" i="13"/>
  <c r="V49" i="13"/>
  <c r="U49" i="13"/>
  <c r="T49" i="13"/>
  <c r="S49" i="13"/>
  <c r="Q49" i="13"/>
  <c r="O49" i="13"/>
  <c r="M49" i="13"/>
  <c r="K49" i="13"/>
  <c r="X48" i="13"/>
  <c r="W48" i="13"/>
  <c r="V48" i="13"/>
  <c r="U48" i="13"/>
  <c r="T48" i="13"/>
  <c r="S48" i="13"/>
  <c r="Q48" i="13"/>
  <c r="O48" i="13"/>
  <c r="M48" i="13"/>
  <c r="K48" i="13"/>
  <c r="X47" i="13"/>
  <c r="W47" i="13"/>
  <c r="V47" i="13"/>
  <c r="U47" i="13"/>
  <c r="T47" i="13"/>
  <c r="S47" i="13"/>
  <c r="Q47" i="13"/>
  <c r="O47" i="13"/>
  <c r="M47" i="13"/>
  <c r="K47" i="13"/>
  <c r="X46" i="13"/>
  <c r="W46" i="13"/>
  <c r="V46" i="13"/>
  <c r="U46" i="13"/>
  <c r="T46" i="13"/>
  <c r="S46" i="13"/>
  <c r="Q46" i="13"/>
  <c r="O46" i="13"/>
  <c r="M46" i="13"/>
  <c r="K46" i="13"/>
  <c r="X45" i="13"/>
  <c r="W45" i="13"/>
  <c r="V45" i="13"/>
  <c r="U45" i="13"/>
  <c r="T45" i="13"/>
  <c r="S45" i="13"/>
  <c r="Q45" i="13"/>
  <c r="O45" i="13"/>
  <c r="M45" i="13"/>
  <c r="K45" i="13"/>
  <c r="X44" i="13"/>
  <c r="W44" i="13"/>
  <c r="V44" i="13"/>
  <c r="U44" i="13"/>
  <c r="T44" i="13"/>
  <c r="S44" i="13"/>
  <c r="Q44" i="13"/>
  <c r="O44" i="13"/>
  <c r="M44" i="13"/>
  <c r="K44" i="13"/>
  <c r="X43" i="13"/>
  <c r="W43" i="13"/>
  <c r="V43" i="13"/>
  <c r="U43" i="13"/>
  <c r="T43" i="13"/>
  <c r="S43" i="13"/>
  <c r="Q43" i="13"/>
  <c r="O43" i="13"/>
  <c r="M43" i="13"/>
  <c r="K43" i="13"/>
  <c r="X42" i="13"/>
  <c r="W42" i="13"/>
  <c r="V42" i="13"/>
  <c r="U42" i="13"/>
  <c r="T42" i="13"/>
  <c r="S42" i="13"/>
  <c r="Q42" i="13"/>
  <c r="O42" i="13"/>
  <c r="M42" i="13"/>
  <c r="K42" i="13"/>
  <c r="X41" i="13"/>
  <c r="W41" i="13"/>
  <c r="V41" i="13"/>
  <c r="U41" i="13"/>
  <c r="T41" i="13"/>
  <c r="S41" i="13"/>
  <c r="Q41" i="13"/>
  <c r="O41" i="13"/>
  <c r="M41" i="13"/>
  <c r="K41" i="13"/>
  <c r="X40" i="13"/>
  <c r="W40" i="13"/>
  <c r="V40" i="13"/>
  <c r="U40" i="13"/>
  <c r="T40" i="13"/>
  <c r="S40" i="13"/>
  <c r="Q40" i="13"/>
  <c r="O40" i="13"/>
  <c r="M40" i="13"/>
  <c r="K40" i="13"/>
  <c r="X39" i="13"/>
  <c r="W39" i="13"/>
  <c r="V39" i="13"/>
  <c r="U39" i="13"/>
  <c r="T39" i="13"/>
  <c r="S39" i="13"/>
  <c r="Q39" i="13"/>
  <c r="O39" i="13"/>
  <c r="M39" i="13"/>
  <c r="K39" i="13"/>
  <c r="X38" i="13"/>
  <c r="W38" i="13"/>
  <c r="V38" i="13"/>
  <c r="U38" i="13"/>
  <c r="T38" i="13"/>
  <c r="S38" i="13"/>
  <c r="Q38" i="13"/>
  <c r="O38" i="13"/>
  <c r="M38" i="13"/>
  <c r="K38" i="13"/>
  <c r="X37" i="13"/>
  <c r="W37" i="13"/>
  <c r="V37" i="13"/>
  <c r="U37" i="13"/>
  <c r="T37" i="13"/>
  <c r="S37" i="13"/>
  <c r="Q37" i="13"/>
  <c r="O37" i="13"/>
  <c r="M37" i="13"/>
  <c r="K37" i="13"/>
  <c r="X36" i="13"/>
  <c r="W36" i="13"/>
  <c r="V36" i="13"/>
  <c r="U36" i="13"/>
  <c r="T36" i="13"/>
  <c r="S36" i="13"/>
  <c r="Q36" i="13"/>
  <c r="O36" i="13"/>
  <c r="M36" i="13"/>
  <c r="K36" i="13"/>
  <c r="X35" i="13"/>
  <c r="W35" i="13"/>
  <c r="V35" i="13"/>
  <c r="U35" i="13"/>
  <c r="T35" i="13"/>
  <c r="S35" i="13"/>
  <c r="Q35" i="13"/>
  <c r="O35" i="13"/>
  <c r="M35" i="13"/>
  <c r="K35" i="13"/>
  <c r="X34" i="13"/>
  <c r="W34" i="13"/>
  <c r="V34" i="13"/>
  <c r="U34" i="13"/>
  <c r="T34" i="13"/>
  <c r="S34" i="13"/>
  <c r="Q34" i="13"/>
  <c r="O34" i="13"/>
  <c r="M34" i="13"/>
  <c r="K34" i="13"/>
  <c r="X33" i="13"/>
  <c r="W33" i="13"/>
  <c r="V33" i="13"/>
  <c r="U33" i="13"/>
  <c r="T33" i="13"/>
  <c r="S33" i="13"/>
  <c r="Q33" i="13"/>
  <c r="O33" i="13"/>
  <c r="M33" i="13"/>
  <c r="K33" i="13"/>
  <c r="X32" i="13"/>
  <c r="W32" i="13"/>
  <c r="V32" i="13"/>
  <c r="U32" i="13"/>
  <c r="T32" i="13"/>
  <c r="S32" i="13"/>
  <c r="Q32" i="13"/>
  <c r="O32" i="13"/>
  <c r="M32" i="13"/>
  <c r="K32" i="13"/>
  <c r="X31" i="13"/>
  <c r="W31" i="13"/>
  <c r="V31" i="13"/>
  <c r="U31" i="13"/>
  <c r="T31" i="13"/>
  <c r="S31" i="13"/>
  <c r="Q31" i="13"/>
  <c r="O31" i="13"/>
  <c r="M31" i="13"/>
  <c r="K31" i="13"/>
  <c r="X30" i="13"/>
  <c r="W30" i="13"/>
  <c r="V30" i="13"/>
  <c r="U30" i="13"/>
  <c r="T30" i="13"/>
  <c r="S30" i="13"/>
  <c r="Q30" i="13"/>
  <c r="O30" i="13"/>
  <c r="M30" i="13"/>
  <c r="K30" i="13"/>
  <c r="X29" i="13"/>
  <c r="W29" i="13"/>
  <c r="V29" i="13"/>
  <c r="U29" i="13"/>
  <c r="T29" i="13"/>
  <c r="S29" i="13"/>
  <c r="Q29" i="13"/>
  <c r="O29" i="13"/>
  <c r="M29" i="13"/>
  <c r="K29" i="13"/>
  <c r="X28" i="13"/>
  <c r="W28" i="13"/>
  <c r="V28" i="13"/>
  <c r="U28" i="13"/>
  <c r="T28" i="13"/>
  <c r="S28" i="13"/>
  <c r="Q28" i="13"/>
  <c r="O28" i="13"/>
  <c r="M28" i="13"/>
  <c r="K28" i="13"/>
  <c r="X27" i="13"/>
  <c r="W27" i="13"/>
  <c r="V27" i="13"/>
  <c r="U27" i="13"/>
  <c r="T27" i="13"/>
  <c r="S27" i="13"/>
  <c r="Q27" i="13"/>
  <c r="O27" i="13"/>
  <c r="M27" i="13"/>
  <c r="K27" i="13"/>
  <c r="X26" i="13"/>
  <c r="W26" i="13"/>
  <c r="V26" i="13"/>
  <c r="U26" i="13"/>
  <c r="T26" i="13"/>
  <c r="S26" i="13"/>
  <c r="Q26" i="13"/>
  <c r="O26" i="13"/>
  <c r="M26" i="13"/>
  <c r="K26" i="13"/>
  <c r="X25" i="13"/>
  <c r="W25" i="13"/>
  <c r="V25" i="13"/>
  <c r="U25" i="13"/>
  <c r="T25" i="13"/>
  <c r="S25" i="13"/>
  <c r="Q25" i="13"/>
  <c r="O25" i="13"/>
  <c r="M25" i="13"/>
  <c r="K25" i="13"/>
  <c r="X24" i="13"/>
  <c r="W24" i="13"/>
  <c r="V24" i="13"/>
  <c r="U24" i="13"/>
  <c r="T24" i="13"/>
  <c r="S24" i="13"/>
  <c r="Q24" i="13"/>
  <c r="O24" i="13"/>
  <c r="M24" i="13"/>
  <c r="K24" i="13"/>
  <c r="X23" i="13"/>
  <c r="W23" i="13"/>
  <c r="V23" i="13"/>
  <c r="U23" i="13"/>
  <c r="T23" i="13"/>
  <c r="S23" i="13"/>
  <c r="Q23" i="13"/>
  <c r="O23" i="13"/>
  <c r="M23" i="13"/>
  <c r="K23" i="13"/>
  <c r="X22" i="13"/>
  <c r="W22" i="13"/>
  <c r="V22" i="13"/>
  <c r="U22" i="13"/>
  <c r="T22" i="13"/>
  <c r="S22" i="13"/>
  <c r="Q22" i="13"/>
  <c r="O22" i="13"/>
  <c r="M22" i="13"/>
  <c r="K22" i="13"/>
  <c r="X21" i="13"/>
  <c r="W21" i="13"/>
  <c r="V21" i="13"/>
  <c r="U21" i="13"/>
  <c r="T21" i="13"/>
  <c r="S21" i="13"/>
  <c r="Q21" i="13"/>
  <c r="O21" i="13"/>
  <c r="M21" i="13"/>
  <c r="K21" i="13"/>
  <c r="X20" i="13"/>
  <c r="W20" i="13"/>
  <c r="V20" i="13"/>
  <c r="U20" i="13"/>
  <c r="T20" i="13"/>
  <c r="S20" i="13"/>
  <c r="Q20" i="13"/>
  <c r="O20" i="13"/>
  <c r="M20" i="13"/>
  <c r="K20" i="13"/>
  <c r="X19" i="13"/>
  <c r="W19" i="13"/>
  <c r="V19" i="13"/>
  <c r="U19" i="13"/>
  <c r="T19" i="13"/>
  <c r="S19" i="13"/>
  <c r="Q19" i="13"/>
  <c r="O19" i="13"/>
  <c r="M19" i="13"/>
  <c r="K19" i="13"/>
  <c r="X18" i="13"/>
  <c r="W18" i="13"/>
  <c r="V18" i="13"/>
  <c r="U18" i="13"/>
  <c r="T18" i="13"/>
  <c r="S18" i="13"/>
  <c r="Q18" i="13"/>
  <c r="O18" i="13"/>
  <c r="M18" i="13"/>
  <c r="K18" i="13"/>
  <c r="X17" i="13"/>
  <c r="W17" i="13"/>
  <c r="V17" i="13"/>
  <c r="U17" i="13"/>
  <c r="T17" i="13"/>
  <c r="S17" i="13"/>
  <c r="Q17" i="13"/>
  <c r="O17" i="13"/>
  <c r="M17" i="13"/>
  <c r="K17" i="13"/>
  <c r="X16" i="13"/>
  <c r="W16" i="13"/>
  <c r="V16" i="13"/>
  <c r="U16" i="13"/>
  <c r="T16" i="13"/>
  <c r="S16" i="13"/>
  <c r="Q16" i="13"/>
  <c r="O16" i="13"/>
  <c r="M16" i="13"/>
  <c r="K16" i="13"/>
  <c r="X15" i="13"/>
  <c r="W15" i="13"/>
  <c r="V15" i="13"/>
  <c r="U15" i="13"/>
  <c r="T15" i="13"/>
  <c r="S15" i="13"/>
  <c r="Q15" i="13"/>
  <c r="O15" i="13"/>
  <c r="M15" i="13"/>
  <c r="K15" i="13"/>
  <c r="X14" i="13"/>
  <c r="W14" i="13"/>
  <c r="V14" i="13"/>
  <c r="U14" i="13"/>
  <c r="T14" i="13"/>
  <c r="S14" i="13"/>
  <c r="Q14" i="13"/>
  <c r="O14" i="13"/>
  <c r="M14" i="13"/>
  <c r="K14" i="13"/>
  <c r="X13" i="13"/>
  <c r="W13" i="13"/>
  <c r="V13" i="13"/>
  <c r="U13" i="13"/>
  <c r="T13" i="13"/>
  <c r="S13" i="13"/>
  <c r="Q13" i="13"/>
  <c r="O13" i="13"/>
  <c r="M13" i="13"/>
  <c r="K13" i="13"/>
  <c r="X12" i="13"/>
  <c r="W12" i="13"/>
  <c r="V12" i="13"/>
  <c r="U12" i="13"/>
  <c r="T12" i="13"/>
  <c r="S12" i="13"/>
  <c r="Q12" i="13"/>
  <c r="O12" i="13"/>
  <c r="M12" i="13"/>
  <c r="K12" i="13"/>
  <c r="X11" i="13"/>
  <c r="W11" i="13"/>
  <c r="V11" i="13"/>
  <c r="U11" i="13"/>
  <c r="T11" i="13"/>
  <c r="S11" i="13"/>
  <c r="Q11" i="13"/>
  <c r="O11" i="13"/>
  <c r="M11" i="13"/>
  <c r="K11" i="13"/>
  <c r="X10" i="13"/>
  <c r="W10" i="13"/>
  <c r="V10" i="13"/>
  <c r="U10" i="13"/>
  <c r="T10" i="13"/>
  <c r="S10" i="13"/>
  <c r="Q10" i="13"/>
  <c r="O10" i="13"/>
  <c r="M10" i="13"/>
  <c r="K10" i="13"/>
  <c r="X9" i="13"/>
  <c r="W9" i="13"/>
  <c r="V9" i="13"/>
  <c r="U9" i="13"/>
  <c r="T9" i="13"/>
  <c r="S9" i="13"/>
  <c r="Q9" i="13"/>
  <c r="O9" i="13"/>
  <c r="M9" i="13"/>
  <c r="K9" i="13"/>
  <c r="X8" i="13"/>
  <c r="W8" i="13"/>
  <c r="V8" i="13"/>
  <c r="U8" i="13"/>
  <c r="T8" i="13"/>
  <c r="S8" i="13"/>
  <c r="Q8" i="13"/>
  <c r="O8" i="13"/>
  <c r="M8" i="13"/>
  <c r="K8" i="13"/>
  <c r="X7" i="13"/>
  <c r="W7" i="13"/>
  <c r="V7" i="13"/>
  <c r="U7" i="13"/>
  <c r="T7" i="13"/>
  <c r="S7" i="13"/>
  <c r="Q7" i="13"/>
  <c r="O7" i="13"/>
  <c r="M7" i="13"/>
  <c r="K7" i="13"/>
  <c r="X284" i="12"/>
  <c r="W284" i="12"/>
  <c r="V284" i="12"/>
  <c r="U284" i="12"/>
  <c r="T284" i="12"/>
  <c r="S284" i="12"/>
  <c r="Q284" i="12"/>
  <c r="O284" i="12"/>
  <c r="M284" i="12"/>
  <c r="K284" i="12"/>
  <c r="X283" i="12"/>
  <c r="W283" i="12"/>
  <c r="V283" i="12"/>
  <c r="U283" i="12"/>
  <c r="T283" i="12"/>
  <c r="S283" i="12"/>
  <c r="Q283" i="12"/>
  <c r="O283" i="12"/>
  <c r="M283" i="12"/>
  <c r="K283" i="12"/>
  <c r="X282" i="12"/>
  <c r="W282" i="12"/>
  <c r="V282" i="12"/>
  <c r="U282" i="12"/>
  <c r="T282" i="12"/>
  <c r="S282" i="12"/>
  <c r="Q282" i="12"/>
  <c r="O282" i="12"/>
  <c r="M282" i="12"/>
  <c r="K282" i="12"/>
  <c r="X281" i="12"/>
  <c r="W281" i="12"/>
  <c r="V281" i="12"/>
  <c r="U281" i="12"/>
  <c r="T281" i="12"/>
  <c r="S281" i="12"/>
  <c r="Q281" i="12"/>
  <c r="O281" i="12"/>
  <c r="M281" i="12"/>
  <c r="K281" i="12"/>
  <c r="X280" i="12"/>
  <c r="W280" i="12"/>
  <c r="V280" i="12"/>
  <c r="U280" i="12"/>
  <c r="T280" i="12"/>
  <c r="S280" i="12"/>
  <c r="Q280" i="12"/>
  <c r="O280" i="12"/>
  <c r="M280" i="12"/>
  <c r="K280" i="12"/>
  <c r="X279" i="12"/>
  <c r="W279" i="12"/>
  <c r="V279" i="12"/>
  <c r="U279" i="12"/>
  <c r="T279" i="12"/>
  <c r="S279" i="12"/>
  <c r="Q279" i="12"/>
  <c r="O279" i="12"/>
  <c r="M279" i="12"/>
  <c r="K279" i="12"/>
  <c r="X278" i="12"/>
  <c r="W278" i="12"/>
  <c r="V278" i="12"/>
  <c r="U278" i="12"/>
  <c r="T278" i="12"/>
  <c r="S278" i="12"/>
  <c r="Q278" i="12"/>
  <c r="O278" i="12"/>
  <c r="M278" i="12"/>
  <c r="K278" i="12"/>
  <c r="X277" i="12"/>
  <c r="W277" i="12"/>
  <c r="V277" i="12"/>
  <c r="U277" i="12"/>
  <c r="T277" i="12"/>
  <c r="S277" i="12"/>
  <c r="Q277" i="12"/>
  <c r="O277" i="12"/>
  <c r="M277" i="12"/>
  <c r="K277" i="12"/>
  <c r="X276" i="12"/>
  <c r="W276" i="12"/>
  <c r="V276" i="12"/>
  <c r="U276" i="12"/>
  <c r="T276" i="12"/>
  <c r="S276" i="12"/>
  <c r="Q276" i="12"/>
  <c r="O276" i="12"/>
  <c r="M276" i="12"/>
  <c r="K276" i="12"/>
  <c r="X275" i="12"/>
  <c r="W275" i="12"/>
  <c r="V275" i="12"/>
  <c r="U275" i="12"/>
  <c r="T275" i="12"/>
  <c r="S275" i="12"/>
  <c r="Q275" i="12"/>
  <c r="O275" i="12"/>
  <c r="M275" i="12"/>
  <c r="K275" i="12"/>
  <c r="X274" i="12"/>
  <c r="W274" i="12"/>
  <c r="V274" i="12"/>
  <c r="U274" i="12"/>
  <c r="T274" i="12"/>
  <c r="S274" i="12"/>
  <c r="Q274" i="12"/>
  <c r="O274" i="12"/>
  <c r="M274" i="12"/>
  <c r="K274" i="12"/>
  <c r="X273" i="12"/>
  <c r="W273" i="12"/>
  <c r="V273" i="12"/>
  <c r="U273" i="12"/>
  <c r="T273" i="12"/>
  <c r="S273" i="12"/>
  <c r="Q273" i="12"/>
  <c r="O273" i="12"/>
  <c r="M273" i="12"/>
  <c r="K273" i="12"/>
  <c r="X272" i="12"/>
  <c r="W272" i="12"/>
  <c r="V272" i="12"/>
  <c r="U272" i="12"/>
  <c r="T272" i="12"/>
  <c r="S272" i="12"/>
  <c r="Q272" i="12"/>
  <c r="O272" i="12"/>
  <c r="M272" i="12"/>
  <c r="K272" i="12"/>
  <c r="X271" i="12"/>
  <c r="W271" i="12"/>
  <c r="V271" i="12"/>
  <c r="U271" i="12"/>
  <c r="T271" i="12"/>
  <c r="S271" i="12"/>
  <c r="Q271" i="12"/>
  <c r="O271" i="12"/>
  <c r="M271" i="12"/>
  <c r="K271" i="12"/>
  <c r="X270" i="12"/>
  <c r="W270" i="12"/>
  <c r="V270" i="12"/>
  <c r="U270" i="12"/>
  <c r="T270" i="12"/>
  <c r="S270" i="12"/>
  <c r="Q270" i="12"/>
  <c r="O270" i="12"/>
  <c r="M270" i="12"/>
  <c r="K270" i="12"/>
  <c r="X269" i="12"/>
  <c r="W269" i="12"/>
  <c r="V269" i="12"/>
  <c r="U269" i="12"/>
  <c r="T269" i="12"/>
  <c r="S269" i="12"/>
  <c r="Q269" i="12"/>
  <c r="O269" i="12"/>
  <c r="M269" i="12"/>
  <c r="K269" i="12"/>
  <c r="X268" i="12"/>
  <c r="W268" i="12"/>
  <c r="V268" i="12"/>
  <c r="U268" i="12"/>
  <c r="T268" i="12"/>
  <c r="S268" i="12"/>
  <c r="Q268" i="12"/>
  <c r="O268" i="12"/>
  <c r="M268" i="12"/>
  <c r="K268" i="12"/>
  <c r="X267" i="12"/>
  <c r="W267" i="12"/>
  <c r="V267" i="12"/>
  <c r="U267" i="12"/>
  <c r="T267" i="12"/>
  <c r="S267" i="12"/>
  <c r="Q267" i="12"/>
  <c r="O267" i="12"/>
  <c r="M267" i="12"/>
  <c r="K267" i="12"/>
  <c r="X266" i="12"/>
  <c r="W266" i="12"/>
  <c r="V266" i="12"/>
  <c r="U266" i="12"/>
  <c r="T266" i="12"/>
  <c r="S266" i="12"/>
  <c r="Q266" i="12"/>
  <c r="O266" i="12"/>
  <c r="M266" i="12"/>
  <c r="K266" i="12"/>
  <c r="X265" i="12"/>
  <c r="W265" i="12"/>
  <c r="V265" i="12"/>
  <c r="U265" i="12"/>
  <c r="T265" i="12"/>
  <c r="S265" i="12"/>
  <c r="Q265" i="12"/>
  <c r="O265" i="12"/>
  <c r="M265" i="12"/>
  <c r="K265" i="12"/>
  <c r="X264" i="12"/>
  <c r="W264" i="12"/>
  <c r="V264" i="12"/>
  <c r="U264" i="12"/>
  <c r="T264" i="12"/>
  <c r="S264" i="12"/>
  <c r="Q264" i="12"/>
  <c r="O264" i="12"/>
  <c r="M264" i="12"/>
  <c r="K264" i="12"/>
  <c r="X263" i="12"/>
  <c r="W263" i="12"/>
  <c r="V263" i="12"/>
  <c r="U263" i="12"/>
  <c r="T263" i="12"/>
  <c r="S263" i="12"/>
  <c r="Q263" i="12"/>
  <c r="O263" i="12"/>
  <c r="M263" i="12"/>
  <c r="K263" i="12"/>
  <c r="X262" i="12"/>
  <c r="W262" i="12"/>
  <c r="V262" i="12"/>
  <c r="U262" i="12"/>
  <c r="T262" i="12"/>
  <c r="S262" i="12"/>
  <c r="Q262" i="12"/>
  <c r="O262" i="12"/>
  <c r="M262" i="12"/>
  <c r="K262" i="12"/>
  <c r="X261" i="12"/>
  <c r="W261" i="12"/>
  <c r="V261" i="12"/>
  <c r="U261" i="12"/>
  <c r="T261" i="12"/>
  <c r="S261" i="12"/>
  <c r="Q261" i="12"/>
  <c r="O261" i="12"/>
  <c r="M261" i="12"/>
  <c r="K261" i="12"/>
  <c r="X260" i="12"/>
  <c r="W260" i="12"/>
  <c r="V260" i="12"/>
  <c r="U260" i="12"/>
  <c r="T260" i="12"/>
  <c r="S260" i="12"/>
  <c r="Q260" i="12"/>
  <c r="O260" i="12"/>
  <c r="M260" i="12"/>
  <c r="K260" i="12"/>
  <c r="X259" i="12"/>
  <c r="W259" i="12"/>
  <c r="V259" i="12"/>
  <c r="U259" i="12"/>
  <c r="T259" i="12"/>
  <c r="S259" i="12"/>
  <c r="Q259" i="12"/>
  <c r="O259" i="12"/>
  <c r="M259" i="12"/>
  <c r="K259" i="12"/>
  <c r="X258" i="12"/>
  <c r="W258" i="12"/>
  <c r="V258" i="12"/>
  <c r="U258" i="12"/>
  <c r="T258" i="12"/>
  <c r="S258" i="12"/>
  <c r="Q258" i="12"/>
  <c r="O258" i="12"/>
  <c r="M258" i="12"/>
  <c r="K258" i="12"/>
  <c r="X257" i="12"/>
  <c r="W257" i="12"/>
  <c r="V257" i="12"/>
  <c r="U257" i="12"/>
  <c r="T257" i="12"/>
  <c r="S257" i="12"/>
  <c r="Q257" i="12"/>
  <c r="O257" i="12"/>
  <c r="M257" i="12"/>
  <c r="K257" i="12"/>
  <c r="X256" i="12"/>
  <c r="W256" i="12"/>
  <c r="V256" i="12"/>
  <c r="U256" i="12"/>
  <c r="T256" i="12"/>
  <c r="S256" i="12"/>
  <c r="Q256" i="12"/>
  <c r="O256" i="12"/>
  <c r="M256" i="12"/>
  <c r="K256" i="12"/>
  <c r="X255" i="12"/>
  <c r="W255" i="12"/>
  <c r="V255" i="12"/>
  <c r="U255" i="12"/>
  <c r="T255" i="12"/>
  <c r="S255" i="12"/>
  <c r="Q255" i="12"/>
  <c r="O255" i="12"/>
  <c r="M255" i="12"/>
  <c r="K255" i="12"/>
  <c r="X254" i="12"/>
  <c r="W254" i="12"/>
  <c r="V254" i="12"/>
  <c r="U254" i="12"/>
  <c r="T254" i="12"/>
  <c r="S254" i="12"/>
  <c r="Q254" i="12"/>
  <c r="O254" i="12"/>
  <c r="M254" i="12"/>
  <c r="K254" i="12"/>
  <c r="X253" i="12"/>
  <c r="W253" i="12"/>
  <c r="V253" i="12"/>
  <c r="U253" i="12"/>
  <c r="T253" i="12"/>
  <c r="S253" i="12"/>
  <c r="Q253" i="12"/>
  <c r="O253" i="12"/>
  <c r="M253" i="12"/>
  <c r="K253" i="12"/>
  <c r="X252" i="12"/>
  <c r="W252" i="12"/>
  <c r="V252" i="12"/>
  <c r="U252" i="12"/>
  <c r="T252" i="12"/>
  <c r="S252" i="12"/>
  <c r="Q252" i="12"/>
  <c r="O252" i="12"/>
  <c r="M252" i="12"/>
  <c r="K252" i="12"/>
  <c r="X251" i="12"/>
  <c r="W251" i="12"/>
  <c r="V251" i="12"/>
  <c r="U251" i="12"/>
  <c r="T251" i="12"/>
  <c r="S251" i="12"/>
  <c r="Q251" i="12"/>
  <c r="O251" i="12"/>
  <c r="M251" i="12"/>
  <c r="K251" i="12"/>
  <c r="X250" i="12"/>
  <c r="W250" i="12"/>
  <c r="V250" i="12"/>
  <c r="U250" i="12"/>
  <c r="T250" i="12"/>
  <c r="S250" i="12"/>
  <c r="Q250" i="12"/>
  <c r="O250" i="12"/>
  <c r="M250" i="12"/>
  <c r="K250" i="12"/>
  <c r="X249" i="12"/>
  <c r="W249" i="12"/>
  <c r="V249" i="12"/>
  <c r="U249" i="12"/>
  <c r="T249" i="12"/>
  <c r="S249" i="12"/>
  <c r="Q249" i="12"/>
  <c r="O249" i="12"/>
  <c r="M249" i="12"/>
  <c r="K249" i="12"/>
  <c r="X248" i="12"/>
  <c r="W248" i="12"/>
  <c r="V248" i="12"/>
  <c r="U248" i="12"/>
  <c r="T248" i="12"/>
  <c r="S248" i="12"/>
  <c r="Q248" i="12"/>
  <c r="O248" i="12"/>
  <c r="M248" i="12"/>
  <c r="K248" i="12"/>
  <c r="X247" i="12"/>
  <c r="W247" i="12"/>
  <c r="V247" i="12"/>
  <c r="U247" i="12"/>
  <c r="T247" i="12"/>
  <c r="S247" i="12"/>
  <c r="Q247" i="12"/>
  <c r="O247" i="12"/>
  <c r="M247" i="12"/>
  <c r="K247" i="12"/>
  <c r="X246" i="12"/>
  <c r="W246" i="12"/>
  <c r="V246" i="12"/>
  <c r="U246" i="12"/>
  <c r="T246" i="12"/>
  <c r="S246" i="12"/>
  <c r="Q246" i="12"/>
  <c r="O246" i="12"/>
  <c r="M246" i="12"/>
  <c r="K246" i="12"/>
  <c r="X245" i="12"/>
  <c r="W245" i="12"/>
  <c r="V245" i="12"/>
  <c r="U245" i="12"/>
  <c r="T245" i="12"/>
  <c r="S245" i="12"/>
  <c r="Q245" i="12"/>
  <c r="O245" i="12"/>
  <c r="M245" i="12"/>
  <c r="K245" i="12"/>
  <c r="X244" i="12"/>
  <c r="W244" i="12"/>
  <c r="V244" i="12"/>
  <c r="U244" i="12"/>
  <c r="T244" i="12"/>
  <c r="S244" i="12"/>
  <c r="Q244" i="12"/>
  <c r="O244" i="12"/>
  <c r="M244" i="12"/>
  <c r="K244" i="12"/>
  <c r="X243" i="12"/>
  <c r="W243" i="12"/>
  <c r="V243" i="12"/>
  <c r="U243" i="12"/>
  <c r="T243" i="12"/>
  <c r="S243" i="12"/>
  <c r="Q243" i="12"/>
  <c r="O243" i="12"/>
  <c r="M243" i="12"/>
  <c r="K243" i="12"/>
  <c r="X242" i="12"/>
  <c r="W242" i="12"/>
  <c r="V242" i="12"/>
  <c r="U242" i="12"/>
  <c r="T242" i="12"/>
  <c r="S242" i="12"/>
  <c r="Q242" i="12"/>
  <c r="O242" i="12"/>
  <c r="M242" i="12"/>
  <c r="K242" i="12"/>
  <c r="X241" i="12"/>
  <c r="W241" i="12"/>
  <c r="V241" i="12"/>
  <c r="U241" i="12"/>
  <c r="T241" i="12"/>
  <c r="S241" i="12"/>
  <c r="Q241" i="12"/>
  <c r="O241" i="12"/>
  <c r="M241" i="12"/>
  <c r="K241" i="12"/>
  <c r="X240" i="12"/>
  <c r="W240" i="12"/>
  <c r="V240" i="12"/>
  <c r="U240" i="12"/>
  <c r="T240" i="12"/>
  <c r="S240" i="12"/>
  <c r="Q240" i="12"/>
  <c r="O240" i="12"/>
  <c r="M240" i="12"/>
  <c r="K240" i="12"/>
  <c r="X239" i="12"/>
  <c r="W239" i="12"/>
  <c r="V239" i="12"/>
  <c r="U239" i="12"/>
  <c r="T239" i="12"/>
  <c r="S239" i="12"/>
  <c r="Q239" i="12"/>
  <c r="O239" i="12"/>
  <c r="M239" i="12"/>
  <c r="K239" i="12"/>
  <c r="X238" i="12"/>
  <c r="W238" i="12"/>
  <c r="V238" i="12"/>
  <c r="U238" i="12"/>
  <c r="T238" i="12"/>
  <c r="S238" i="12"/>
  <c r="Q238" i="12"/>
  <c r="O238" i="12"/>
  <c r="M238" i="12"/>
  <c r="K238" i="12"/>
  <c r="X237" i="12"/>
  <c r="W237" i="12"/>
  <c r="V237" i="12"/>
  <c r="U237" i="12"/>
  <c r="T237" i="12"/>
  <c r="S237" i="12"/>
  <c r="Q237" i="12"/>
  <c r="O237" i="12"/>
  <c r="M237" i="12"/>
  <c r="K237" i="12"/>
  <c r="X236" i="12"/>
  <c r="W236" i="12"/>
  <c r="V236" i="12"/>
  <c r="U236" i="12"/>
  <c r="T236" i="12"/>
  <c r="S236" i="12"/>
  <c r="Q236" i="12"/>
  <c r="O236" i="12"/>
  <c r="M236" i="12"/>
  <c r="K236" i="12"/>
  <c r="X235" i="12"/>
  <c r="W235" i="12"/>
  <c r="V235" i="12"/>
  <c r="U235" i="12"/>
  <c r="T235" i="12"/>
  <c r="S235" i="12"/>
  <c r="Q235" i="12"/>
  <c r="O235" i="12"/>
  <c r="M235" i="12"/>
  <c r="K235" i="12"/>
  <c r="X234" i="12"/>
  <c r="W234" i="12"/>
  <c r="V234" i="12"/>
  <c r="U234" i="12"/>
  <c r="T234" i="12"/>
  <c r="S234" i="12"/>
  <c r="Q234" i="12"/>
  <c r="O234" i="12"/>
  <c r="M234" i="12"/>
  <c r="K234" i="12"/>
  <c r="X233" i="12"/>
  <c r="W233" i="12"/>
  <c r="V233" i="12"/>
  <c r="U233" i="12"/>
  <c r="T233" i="12"/>
  <c r="S233" i="12"/>
  <c r="Q233" i="12"/>
  <c r="O233" i="12"/>
  <c r="M233" i="12"/>
  <c r="K233" i="12"/>
  <c r="X232" i="12"/>
  <c r="W232" i="12"/>
  <c r="V232" i="12"/>
  <c r="U232" i="12"/>
  <c r="T232" i="12"/>
  <c r="S232" i="12"/>
  <c r="Q232" i="12"/>
  <c r="O232" i="12"/>
  <c r="M232" i="12"/>
  <c r="K232" i="12"/>
  <c r="X231" i="12"/>
  <c r="W231" i="12"/>
  <c r="V231" i="12"/>
  <c r="U231" i="12"/>
  <c r="T231" i="12"/>
  <c r="S231" i="12"/>
  <c r="Q231" i="12"/>
  <c r="O231" i="12"/>
  <c r="M231" i="12"/>
  <c r="K231" i="12"/>
  <c r="X230" i="12"/>
  <c r="W230" i="12"/>
  <c r="V230" i="12"/>
  <c r="U230" i="12"/>
  <c r="T230" i="12"/>
  <c r="S230" i="12"/>
  <c r="Q230" i="12"/>
  <c r="O230" i="12"/>
  <c r="M230" i="12"/>
  <c r="K230" i="12"/>
  <c r="X229" i="12"/>
  <c r="W229" i="12"/>
  <c r="V229" i="12"/>
  <c r="U229" i="12"/>
  <c r="T229" i="12"/>
  <c r="S229" i="12"/>
  <c r="Q229" i="12"/>
  <c r="O229" i="12"/>
  <c r="M229" i="12"/>
  <c r="K229" i="12"/>
  <c r="X228" i="12"/>
  <c r="W228" i="12"/>
  <c r="V228" i="12"/>
  <c r="U228" i="12"/>
  <c r="T228" i="12"/>
  <c r="S228" i="12"/>
  <c r="Q228" i="12"/>
  <c r="O228" i="12"/>
  <c r="M228" i="12"/>
  <c r="K228" i="12"/>
  <c r="X227" i="12"/>
  <c r="W227" i="12"/>
  <c r="V227" i="12"/>
  <c r="U227" i="12"/>
  <c r="T227" i="12"/>
  <c r="S227" i="12"/>
  <c r="Q227" i="12"/>
  <c r="O227" i="12"/>
  <c r="M227" i="12"/>
  <c r="K227" i="12"/>
  <c r="X226" i="12"/>
  <c r="W226" i="12"/>
  <c r="V226" i="12"/>
  <c r="U226" i="12"/>
  <c r="T226" i="12"/>
  <c r="S226" i="12"/>
  <c r="Q226" i="12"/>
  <c r="O226" i="12"/>
  <c r="M226" i="12"/>
  <c r="K226" i="12"/>
  <c r="X225" i="12"/>
  <c r="W225" i="12"/>
  <c r="V225" i="12"/>
  <c r="U225" i="12"/>
  <c r="T225" i="12"/>
  <c r="S225" i="12"/>
  <c r="Q225" i="12"/>
  <c r="O225" i="12"/>
  <c r="M225" i="12"/>
  <c r="K225" i="12"/>
  <c r="X224" i="12"/>
  <c r="W224" i="12"/>
  <c r="V224" i="12"/>
  <c r="U224" i="12"/>
  <c r="T224" i="12"/>
  <c r="S224" i="12"/>
  <c r="Q224" i="12"/>
  <c r="O224" i="12"/>
  <c r="M224" i="12"/>
  <c r="K224" i="12"/>
  <c r="X223" i="12"/>
  <c r="W223" i="12"/>
  <c r="V223" i="12"/>
  <c r="U223" i="12"/>
  <c r="T223" i="12"/>
  <c r="S223" i="12"/>
  <c r="Q223" i="12"/>
  <c r="O223" i="12"/>
  <c r="M223" i="12"/>
  <c r="K223" i="12"/>
  <c r="X222" i="12"/>
  <c r="W222" i="12"/>
  <c r="V222" i="12"/>
  <c r="U222" i="12"/>
  <c r="T222" i="12"/>
  <c r="S222" i="12"/>
  <c r="Q222" i="12"/>
  <c r="O222" i="12"/>
  <c r="M222" i="12"/>
  <c r="K222" i="12"/>
  <c r="X221" i="12"/>
  <c r="W221" i="12"/>
  <c r="V221" i="12"/>
  <c r="U221" i="12"/>
  <c r="T221" i="12"/>
  <c r="S221" i="12"/>
  <c r="Q221" i="12"/>
  <c r="O221" i="12"/>
  <c r="M221" i="12"/>
  <c r="K221" i="12"/>
  <c r="X220" i="12"/>
  <c r="W220" i="12"/>
  <c r="V220" i="12"/>
  <c r="U220" i="12"/>
  <c r="T220" i="12"/>
  <c r="S220" i="12"/>
  <c r="Q220" i="12"/>
  <c r="O220" i="12"/>
  <c r="M220" i="12"/>
  <c r="K220" i="12"/>
  <c r="X219" i="12"/>
  <c r="W219" i="12"/>
  <c r="V219" i="12"/>
  <c r="U219" i="12"/>
  <c r="T219" i="12"/>
  <c r="S219" i="12"/>
  <c r="Q219" i="12"/>
  <c r="O219" i="12"/>
  <c r="M219" i="12"/>
  <c r="K219" i="12"/>
  <c r="X218" i="12"/>
  <c r="W218" i="12"/>
  <c r="V218" i="12"/>
  <c r="U218" i="12"/>
  <c r="T218" i="12"/>
  <c r="S218" i="12"/>
  <c r="Q218" i="12"/>
  <c r="O218" i="12"/>
  <c r="M218" i="12"/>
  <c r="K218" i="12"/>
  <c r="X217" i="12"/>
  <c r="W217" i="12"/>
  <c r="V217" i="12"/>
  <c r="U217" i="12"/>
  <c r="T217" i="12"/>
  <c r="S217" i="12"/>
  <c r="Q217" i="12"/>
  <c r="O217" i="12"/>
  <c r="M217" i="12"/>
  <c r="K217" i="12"/>
  <c r="X216" i="12"/>
  <c r="W216" i="12"/>
  <c r="V216" i="12"/>
  <c r="U216" i="12"/>
  <c r="T216" i="12"/>
  <c r="S216" i="12"/>
  <c r="Q216" i="12"/>
  <c r="O216" i="12"/>
  <c r="M216" i="12"/>
  <c r="K216" i="12"/>
  <c r="X215" i="12"/>
  <c r="W215" i="12"/>
  <c r="V215" i="12"/>
  <c r="U215" i="12"/>
  <c r="T215" i="12"/>
  <c r="S215" i="12"/>
  <c r="Q215" i="12"/>
  <c r="O215" i="12"/>
  <c r="M215" i="12"/>
  <c r="K215" i="12"/>
  <c r="X214" i="12"/>
  <c r="W214" i="12"/>
  <c r="V214" i="12"/>
  <c r="U214" i="12"/>
  <c r="T214" i="12"/>
  <c r="S214" i="12"/>
  <c r="Q214" i="12"/>
  <c r="O214" i="12"/>
  <c r="M214" i="12"/>
  <c r="K214" i="12"/>
  <c r="X213" i="12"/>
  <c r="W213" i="12"/>
  <c r="V213" i="12"/>
  <c r="U213" i="12"/>
  <c r="T213" i="12"/>
  <c r="S213" i="12"/>
  <c r="Q213" i="12"/>
  <c r="O213" i="12"/>
  <c r="M213" i="12"/>
  <c r="K213" i="12"/>
  <c r="X212" i="12"/>
  <c r="W212" i="12"/>
  <c r="V212" i="12"/>
  <c r="U212" i="12"/>
  <c r="T212" i="12"/>
  <c r="S212" i="12"/>
  <c r="Q212" i="12"/>
  <c r="O212" i="12"/>
  <c r="M212" i="12"/>
  <c r="K212" i="12"/>
  <c r="X211" i="12"/>
  <c r="W211" i="12"/>
  <c r="V211" i="12"/>
  <c r="U211" i="12"/>
  <c r="T211" i="12"/>
  <c r="S211" i="12"/>
  <c r="Q211" i="12"/>
  <c r="O211" i="12"/>
  <c r="M211" i="12"/>
  <c r="K211" i="12"/>
  <c r="X210" i="12"/>
  <c r="W210" i="12"/>
  <c r="V210" i="12"/>
  <c r="U210" i="12"/>
  <c r="T210" i="12"/>
  <c r="S210" i="12"/>
  <c r="Q210" i="12"/>
  <c r="O210" i="12"/>
  <c r="M210" i="12"/>
  <c r="K210" i="12"/>
  <c r="X209" i="12"/>
  <c r="W209" i="12"/>
  <c r="V209" i="12"/>
  <c r="U209" i="12"/>
  <c r="T209" i="12"/>
  <c r="S209" i="12"/>
  <c r="Q209" i="12"/>
  <c r="O209" i="12"/>
  <c r="M209" i="12"/>
  <c r="K209" i="12"/>
  <c r="X208" i="12"/>
  <c r="W208" i="12"/>
  <c r="V208" i="12"/>
  <c r="U208" i="12"/>
  <c r="T208" i="12"/>
  <c r="S208" i="12"/>
  <c r="Q208" i="12"/>
  <c r="O208" i="12"/>
  <c r="M208" i="12"/>
  <c r="K208" i="12"/>
  <c r="X207" i="12"/>
  <c r="W207" i="12"/>
  <c r="V207" i="12"/>
  <c r="U207" i="12"/>
  <c r="T207" i="12"/>
  <c r="S207" i="12"/>
  <c r="Q207" i="12"/>
  <c r="O207" i="12"/>
  <c r="M207" i="12"/>
  <c r="K207" i="12"/>
  <c r="X206" i="12"/>
  <c r="W206" i="12"/>
  <c r="V206" i="12"/>
  <c r="U206" i="12"/>
  <c r="T206" i="12"/>
  <c r="S206" i="12"/>
  <c r="Q206" i="12"/>
  <c r="O206" i="12"/>
  <c r="M206" i="12"/>
  <c r="K206" i="12"/>
  <c r="X205" i="12"/>
  <c r="W205" i="12"/>
  <c r="V205" i="12"/>
  <c r="U205" i="12"/>
  <c r="T205" i="12"/>
  <c r="S205" i="12"/>
  <c r="Q205" i="12"/>
  <c r="O205" i="12"/>
  <c r="M205" i="12"/>
  <c r="K205" i="12"/>
  <c r="X204" i="12"/>
  <c r="W204" i="12"/>
  <c r="V204" i="12"/>
  <c r="U204" i="12"/>
  <c r="T204" i="12"/>
  <c r="S204" i="12"/>
  <c r="Q204" i="12"/>
  <c r="O204" i="12"/>
  <c r="M204" i="12"/>
  <c r="K204" i="12"/>
  <c r="X203" i="12"/>
  <c r="W203" i="12"/>
  <c r="V203" i="12"/>
  <c r="U203" i="12"/>
  <c r="T203" i="12"/>
  <c r="S203" i="12"/>
  <c r="Q203" i="12"/>
  <c r="O203" i="12"/>
  <c r="M203" i="12"/>
  <c r="K203" i="12"/>
  <c r="X202" i="12"/>
  <c r="W202" i="12"/>
  <c r="V202" i="12"/>
  <c r="U202" i="12"/>
  <c r="T202" i="12"/>
  <c r="S202" i="12"/>
  <c r="Q202" i="12"/>
  <c r="O202" i="12"/>
  <c r="M202" i="12"/>
  <c r="K202" i="12"/>
  <c r="X201" i="12"/>
  <c r="W201" i="12"/>
  <c r="V201" i="12"/>
  <c r="U201" i="12"/>
  <c r="T201" i="12"/>
  <c r="S201" i="12"/>
  <c r="Q201" i="12"/>
  <c r="O201" i="12"/>
  <c r="M201" i="12"/>
  <c r="K201" i="12"/>
  <c r="X200" i="12"/>
  <c r="W200" i="12"/>
  <c r="V200" i="12"/>
  <c r="U200" i="12"/>
  <c r="T200" i="12"/>
  <c r="S200" i="12"/>
  <c r="Q200" i="12"/>
  <c r="O200" i="12"/>
  <c r="M200" i="12"/>
  <c r="K200" i="12"/>
  <c r="X199" i="12"/>
  <c r="W199" i="12"/>
  <c r="V199" i="12"/>
  <c r="U199" i="12"/>
  <c r="T199" i="12"/>
  <c r="S199" i="12"/>
  <c r="Q199" i="12"/>
  <c r="O199" i="12"/>
  <c r="M199" i="12"/>
  <c r="K199" i="12"/>
  <c r="X198" i="12"/>
  <c r="W198" i="12"/>
  <c r="V198" i="12"/>
  <c r="U198" i="12"/>
  <c r="T198" i="12"/>
  <c r="S198" i="12"/>
  <c r="Q198" i="12"/>
  <c r="O198" i="12"/>
  <c r="M198" i="12"/>
  <c r="K198" i="12"/>
  <c r="X197" i="12"/>
  <c r="W197" i="12"/>
  <c r="V197" i="12"/>
  <c r="U197" i="12"/>
  <c r="T197" i="12"/>
  <c r="S197" i="12"/>
  <c r="Q197" i="12"/>
  <c r="O197" i="12"/>
  <c r="M197" i="12"/>
  <c r="K197" i="12"/>
  <c r="X196" i="12"/>
  <c r="W196" i="12"/>
  <c r="V196" i="12"/>
  <c r="U196" i="12"/>
  <c r="T196" i="12"/>
  <c r="S196" i="12"/>
  <c r="Q196" i="12"/>
  <c r="O196" i="12"/>
  <c r="M196" i="12"/>
  <c r="K196" i="12"/>
  <c r="X195" i="12"/>
  <c r="W195" i="12"/>
  <c r="V195" i="12"/>
  <c r="U195" i="12"/>
  <c r="T195" i="12"/>
  <c r="S195" i="12"/>
  <c r="Q195" i="12"/>
  <c r="O195" i="12"/>
  <c r="M195" i="12"/>
  <c r="K195" i="12"/>
  <c r="X194" i="12"/>
  <c r="W194" i="12"/>
  <c r="V194" i="12"/>
  <c r="U194" i="12"/>
  <c r="T194" i="12"/>
  <c r="S194" i="12"/>
  <c r="Q194" i="12"/>
  <c r="O194" i="12"/>
  <c r="M194" i="12"/>
  <c r="K194" i="12"/>
  <c r="X193" i="12"/>
  <c r="W193" i="12"/>
  <c r="V193" i="12"/>
  <c r="U193" i="12"/>
  <c r="T193" i="12"/>
  <c r="S193" i="12"/>
  <c r="Q193" i="12"/>
  <c r="O193" i="12"/>
  <c r="M193" i="12"/>
  <c r="K193" i="12"/>
  <c r="X192" i="12"/>
  <c r="W192" i="12"/>
  <c r="V192" i="12"/>
  <c r="U192" i="12"/>
  <c r="T192" i="12"/>
  <c r="S192" i="12"/>
  <c r="Q192" i="12"/>
  <c r="O192" i="12"/>
  <c r="M192" i="12"/>
  <c r="K192" i="12"/>
  <c r="X191" i="12"/>
  <c r="W191" i="12"/>
  <c r="V191" i="12"/>
  <c r="U191" i="12"/>
  <c r="T191" i="12"/>
  <c r="S191" i="12"/>
  <c r="Q191" i="12"/>
  <c r="O191" i="12"/>
  <c r="M191" i="12"/>
  <c r="K191" i="12"/>
  <c r="X190" i="12"/>
  <c r="W190" i="12"/>
  <c r="V190" i="12"/>
  <c r="U190" i="12"/>
  <c r="T190" i="12"/>
  <c r="S190" i="12"/>
  <c r="Q190" i="12"/>
  <c r="O190" i="12"/>
  <c r="M190" i="12"/>
  <c r="K190" i="12"/>
  <c r="X189" i="12"/>
  <c r="W189" i="12"/>
  <c r="V189" i="12"/>
  <c r="U189" i="12"/>
  <c r="T189" i="12"/>
  <c r="S189" i="12"/>
  <c r="Q189" i="12"/>
  <c r="O189" i="12"/>
  <c r="M189" i="12"/>
  <c r="K189" i="12"/>
  <c r="X188" i="12"/>
  <c r="W188" i="12"/>
  <c r="V188" i="12"/>
  <c r="U188" i="12"/>
  <c r="T188" i="12"/>
  <c r="S188" i="12"/>
  <c r="Q188" i="12"/>
  <c r="O188" i="12"/>
  <c r="M188" i="12"/>
  <c r="K188" i="12"/>
  <c r="X187" i="12"/>
  <c r="W187" i="12"/>
  <c r="V187" i="12"/>
  <c r="U187" i="12"/>
  <c r="T187" i="12"/>
  <c r="S187" i="12"/>
  <c r="Q187" i="12"/>
  <c r="O187" i="12"/>
  <c r="M187" i="12"/>
  <c r="K187" i="12"/>
  <c r="X186" i="12"/>
  <c r="W186" i="12"/>
  <c r="V186" i="12"/>
  <c r="U186" i="12"/>
  <c r="T186" i="12"/>
  <c r="S186" i="12"/>
  <c r="Q186" i="12"/>
  <c r="O186" i="12"/>
  <c r="M186" i="12"/>
  <c r="K186" i="12"/>
  <c r="X185" i="12"/>
  <c r="W185" i="12"/>
  <c r="V185" i="12"/>
  <c r="U185" i="12"/>
  <c r="T185" i="12"/>
  <c r="S185" i="12"/>
  <c r="Q185" i="12"/>
  <c r="O185" i="12"/>
  <c r="M185" i="12"/>
  <c r="K185" i="12"/>
  <c r="X184" i="12"/>
  <c r="W184" i="12"/>
  <c r="V184" i="12"/>
  <c r="U184" i="12"/>
  <c r="T184" i="12"/>
  <c r="S184" i="12"/>
  <c r="Q184" i="12"/>
  <c r="O184" i="12"/>
  <c r="M184" i="12"/>
  <c r="K184" i="12"/>
  <c r="X183" i="12"/>
  <c r="W183" i="12"/>
  <c r="V183" i="12"/>
  <c r="U183" i="12"/>
  <c r="T183" i="12"/>
  <c r="S183" i="12"/>
  <c r="Q183" i="12"/>
  <c r="O183" i="12"/>
  <c r="M183" i="12"/>
  <c r="K183" i="12"/>
  <c r="X182" i="12"/>
  <c r="W182" i="12"/>
  <c r="V182" i="12"/>
  <c r="U182" i="12"/>
  <c r="T182" i="12"/>
  <c r="S182" i="12"/>
  <c r="Q182" i="12"/>
  <c r="O182" i="12"/>
  <c r="M182" i="12"/>
  <c r="K182" i="12"/>
  <c r="X181" i="12"/>
  <c r="W181" i="12"/>
  <c r="V181" i="12"/>
  <c r="U181" i="12"/>
  <c r="T181" i="12"/>
  <c r="S181" i="12"/>
  <c r="Q181" i="12"/>
  <c r="O181" i="12"/>
  <c r="M181" i="12"/>
  <c r="K181" i="12"/>
  <c r="X180" i="12"/>
  <c r="W180" i="12"/>
  <c r="V180" i="12"/>
  <c r="U180" i="12"/>
  <c r="T180" i="12"/>
  <c r="S180" i="12"/>
  <c r="Q180" i="12"/>
  <c r="O180" i="12"/>
  <c r="M180" i="12"/>
  <c r="K180" i="12"/>
  <c r="X179" i="12"/>
  <c r="W179" i="12"/>
  <c r="V179" i="12"/>
  <c r="U179" i="12"/>
  <c r="T179" i="12"/>
  <c r="S179" i="12"/>
  <c r="Q179" i="12"/>
  <c r="O179" i="12"/>
  <c r="M179" i="12"/>
  <c r="K179" i="12"/>
  <c r="X178" i="12"/>
  <c r="W178" i="12"/>
  <c r="V178" i="12"/>
  <c r="U178" i="12"/>
  <c r="T178" i="12"/>
  <c r="S178" i="12"/>
  <c r="Q178" i="12"/>
  <c r="O178" i="12"/>
  <c r="M178" i="12"/>
  <c r="K178" i="12"/>
  <c r="X177" i="12"/>
  <c r="W177" i="12"/>
  <c r="V177" i="12"/>
  <c r="U177" i="12"/>
  <c r="T177" i="12"/>
  <c r="S177" i="12"/>
  <c r="Q177" i="12"/>
  <c r="O177" i="12"/>
  <c r="M177" i="12"/>
  <c r="K177" i="12"/>
  <c r="X176" i="12"/>
  <c r="W176" i="12"/>
  <c r="V176" i="12"/>
  <c r="U176" i="12"/>
  <c r="T176" i="12"/>
  <c r="S176" i="12"/>
  <c r="Q176" i="12"/>
  <c r="O176" i="12"/>
  <c r="M176" i="12"/>
  <c r="K176" i="12"/>
  <c r="X175" i="12"/>
  <c r="W175" i="12"/>
  <c r="V175" i="12"/>
  <c r="U175" i="12"/>
  <c r="T175" i="12"/>
  <c r="S175" i="12"/>
  <c r="Q175" i="12"/>
  <c r="O175" i="12"/>
  <c r="M175" i="12"/>
  <c r="K175" i="12"/>
  <c r="X174" i="12"/>
  <c r="W174" i="12"/>
  <c r="V174" i="12"/>
  <c r="U174" i="12"/>
  <c r="T174" i="12"/>
  <c r="S174" i="12"/>
  <c r="Q174" i="12"/>
  <c r="O174" i="12"/>
  <c r="M174" i="12"/>
  <c r="K174" i="12"/>
  <c r="X173" i="12"/>
  <c r="W173" i="12"/>
  <c r="V173" i="12"/>
  <c r="U173" i="12"/>
  <c r="T173" i="12"/>
  <c r="S173" i="12"/>
  <c r="Q173" i="12"/>
  <c r="O173" i="12"/>
  <c r="M173" i="12"/>
  <c r="K173" i="12"/>
  <c r="X172" i="12"/>
  <c r="W172" i="12"/>
  <c r="V172" i="12"/>
  <c r="U172" i="12"/>
  <c r="T172" i="12"/>
  <c r="S172" i="12"/>
  <c r="Q172" i="12"/>
  <c r="O172" i="12"/>
  <c r="M172" i="12"/>
  <c r="K172" i="12"/>
  <c r="X171" i="12"/>
  <c r="W171" i="12"/>
  <c r="V171" i="12"/>
  <c r="U171" i="12"/>
  <c r="T171" i="12"/>
  <c r="S171" i="12"/>
  <c r="Q171" i="12"/>
  <c r="O171" i="12"/>
  <c r="M171" i="12"/>
  <c r="K171" i="12"/>
  <c r="X170" i="12"/>
  <c r="W170" i="12"/>
  <c r="V170" i="12"/>
  <c r="U170" i="12"/>
  <c r="T170" i="12"/>
  <c r="S170" i="12"/>
  <c r="Q170" i="12"/>
  <c r="O170" i="12"/>
  <c r="M170" i="12"/>
  <c r="K170" i="12"/>
  <c r="X169" i="12"/>
  <c r="W169" i="12"/>
  <c r="V169" i="12"/>
  <c r="U169" i="12"/>
  <c r="T169" i="12"/>
  <c r="S169" i="12"/>
  <c r="Q169" i="12"/>
  <c r="O169" i="12"/>
  <c r="M169" i="12"/>
  <c r="K169" i="12"/>
  <c r="X168" i="12"/>
  <c r="W168" i="12"/>
  <c r="V168" i="12"/>
  <c r="U168" i="12"/>
  <c r="T168" i="12"/>
  <c r="S168" i="12"/>
  <c r="Q168" i="12"/>
  <c r="O168" i="12"/>
  <c r="M168" i="12"/>
  <c r="K168" i="12"/>
  <c r="X167" i="12"/>
  <c r="W167" i="12"/>
  <c r="V167" i="12"/>
  <c r="U167" i="12"/>
  <c r="T167" i="12"/>
  <c r="S167" i="12"/>
  <c r="Q167" i="12"/>
  <c r="O167" i="12"/>
  <c r="M167" i="12"/>
  <c r="K167" i="12"/>
  <c r="X166" i="12"/>
  <c r="W166" i="12"/>
  <c r="V166" i="12"/>
  <c r="U166" i="12"/>
  <c r="T166" i="12"/>
  <c r="S166" i="12"/>
  <c r="Q166" i="12"/>
  <c r="O166" i="12"/>
  <c r="M166" i="12"/>
  <c r="K166" i="12"/>
  <c r="X165" i="12"/>
  <c r="W165" i="12"/>
  <c r="V165" i="12"/>
  <c r="U165" i="12"/>
  <c r="T165" i="12"/>
  <c r="S165" i="12"/>
  <c r="Q165" i="12"/>
  <c r="O165" i="12"/>
  <c r="M165" i="12"/>
  <c r="K165" i="12"/>
  <c r="X164" i="12"/>
  <c r="W164" i="12"/>
  <c r="V164" i="12"/>
  <c r="U164" i="12"/>
  <c r="T164" i="12"/>
  <c r="S164" i="12"/>
  <c r="Q164" i="12"/>
  <c r="O164" i="12"/>
  <c r="M164" i="12"/>
  <c r="K164" i="12"/>
  <c r="X163" i="12"/>
  <c r="W163" i="12"/>
  <c r="V163" i="12"/>
  <c r="U163" i="12"/>
  <c r="T163" i="12"/>
  <c r="S163" i="12"/>
  <c r="Q163" i="12"/>
  <c r="O163" i="12"/>
  <c r="M163" i="12"/>
  <c r="K163" i="12"/>
  <c r="X162" i="12"/>
  <c r="W162" i="12"/>
  <c r="V162" i="12"/>
  <c r="U162" i="12"/>
  <c r="T162" i="12"/>
  <c r="S162" i="12"/>
  <c r="Q162" i="12"/>
  <c r="O162" i="12"/>
  <c r="M162" i="12"/>
  <c r="K162" i="12"/>
  <c r="X161" i="12"/>
  <c r="W161" i="12"/>
  <c r="V161" i="12"/>
  <c r="U161" i="12"/>
  <c r="T161" i="12"/>
  <c r="S161" i="12"/>
  <c r="Q161" i="12"/>
  <c r="O161" i="12"/>
  <c r="M161" i="12"/>
  <c r="K161" i="12"/>
  <c r="X160" i="12"/>
  <c r="W160" i="12"/>
  <c r="V160" i="12"/>
  <c r="U160" i="12"/>
  <c r="T160" i="12"/>
  <c r="S160" i="12"/>
  <c r="Q160" i="12"/>
  <c r="O160" i="12"/>
  <c r="M160" i="12"/>
  <c r="K160" i="12"/>
  <c r="X159" i="12"/>
  <c r="W159" i="12"/>
  <c r="V159" i="12"/>
  <c r="U159" i="12"/>
  <c r="T159" i="12"/>
  <c r="S159" i="12"/>
  <c r="Q159" i="12"/>
  <c r="O159" i="12"/>
  <c r="M159" i="12"/>
  <c r="K159" i="12"/>
  <c r="X158" i="12"/>
  <c r="W158" i="12"/>
  <c r="V158" i="12"/>
  <c r="U158" i="12"/>
  <c r="T158" i="12"/>
  <c r="S158" i="12"/>
  <c r="Q158" i="12"/>
  <c r="O158" i="12"/>
  <c r="M158" i="12"/>
  <c r="K158" i="12"/>
  <c r="X157" i="12"/>
  <c r="W157" i="12"/>
  <c r="V157" i="12"/>
  <c r="U157" i="12"/>
  <c r="T157" i="12"/>
  <c r="S157" i="12"/>
  <c r="Q157" i="12"/>
  <c r="O157" i="12"/>
  <c r="M157" i="12"/>
  <c r="K157" i="12"/>
  <c r="X156" i="12"/>
  <c r="W156" i="12"/>
  <c r="V156" i="12"/>
  <c r="U156" i="12"/>
  <c r="T156" i="12"/>
  <c r="S156" i="12"/>
  <c r="Q156" i="12"/>
  <c r="O156" i="12"/>
  <c r="M156" i="12"/>
  <c r="K156" i="12"/>
  <c r="X155" i="12"/>
  <c r="W155" i="12"/>
  <c r="V155" i="12"/>
  <c r="U155" i="12"/>
  <c r="T155" i="12"/>
  <c r="S155" i="12"/>
  <c r="Q155" i="12"/>
  <c r="O155" i="12"/>
  <c r="M155" i="12"/>
  <c r="K155" i="12"/>
  <c r="X154" i="12"/>
  <c r="W154" i="12"/>
  <c r="V154" i="12"/>
  <c r="U154" i="12"/>
  <c r="T154" i="12"/>
  <c r="S154" i="12"/>
  <c r="Q154" i="12"/>
  <c r="O154" i="12"/>
  <c r="M154" i="12"/>
  <c r="K154" i="12"/>
  <c r="X153" i="12"/>
  <c r="W153" i="12"/>
  <c r="V153" i="12"/>
  <c r="U153" i="12"/>
  <c r="T153" i="12"/>
  <c r="S153" i="12"/>
  <c r="Q153" i="12"/>
  <c r="O153" i="12"/>
  <c r="M153" i="12"/>
  <c r="K153" i="12"/>
  <c r="X152" i="12"/>
  <c r="W152" i="12"/>
  <c r="V152" i="12"/>
  <c r="U152" i="12"/>
  <c r="T152" i="12"/>
  <c r="S152" i="12"/>
  <c r="Q152" i="12"/>
  <c r="O152" i="12"/>
  <c r="M152" i="12"/>
  <c r="K152" i="12"/>
  <c r="X151" i="12"/>
  <c r="W151" i="12"/>
  <c r="V151" i="12"/>
  <c r="U151" i="12"/>
  <c r="T151" i="12"/>
  <c r="S151" i="12"/>
  <c r="Q151" i="12"/>
  <c r="O151" i="12"/>
  <c r="M151" i="12"/>
  <c r="K151" i="12"/>
  <c r="X150" i="12"/>
  <c r="W150" i="12"/>
  <c r="V150" i="12"/>
  <c r="U150" i="12"/>
  <c r="T150" i="12"/>
  <c r="S150" i="12"/>
  <c r="Q150" i="12"/>
  <c r="O150" i="12"/>
  <c r="M150" i="12"/>
  <c r="K150" i="12"/>
  <c r="X149" i="12"/>
  <c r="W149" i="12"/>
  <c r="V149" i="12"/>
  <c r="U149" i="12"/>
  <c r="T149" i="12"/>
  <c r="S149" i="12"/>
  <c r="Q149" i="12"/>
  <c r="O149" i="12"/>
  <c r="M149" i="12"/>
  <c r="K149" i="12"/>
  <c r="X148" i="12"/>
  <c r="W148" i="12"/>
  <c r="V148" i="12"/>
  <c r="U148" i="12"/>
  <c r="T148" i="12"/>
  <c r="S148" i="12"/>
  <c r="Q148" i="12"/>
  <c r="O148" i="12"/>
  <c r="M148" i="12"/>
  <c r="K148" i="12"/>
  <c r="X147" i="12"/>
  <c r="W147" i="12"/>
  <c r="V147" i="12"/>
  <c r="U147" i="12"/>
  <c r="T147" i="12"/>
  <c r="S147" i="12"/>
  <c r="Q147" i="12"/>
  <c r="O147" i="12"/>
  <c r="M147" i="12"/>
  <c r="K147" i="12"/>
  <c r="X146" i="12"/>
  <c r="W146" i="12"/>
  <c r="V146" i="12"/>
  <c r="U146" i="12"/>
  <c r="T146" i="12"/>
  <c r="S146" i="12"/>
  <c r="Q146" i="12"/>
  <c r="O146" i="12"/>
  <c r="M146" i="12"/>
  <c r="K146" i="12"/>
  <c r="X145" i="12"/>
  <c r="W145" i="12"/>
  <c r="V145" i="12"/>
  <c r="U145" i="12"/>
  <c r="T145" i="12"/>
  <c r="S145" i="12"/>
  <c r="Q145" i="12"/>
  <c r="O145" i="12"/>
  <c r="M145" i="12"/>
  <c r="K145" i="12"/>
  <c r="X144" i="12"/>
  <c r="W144" i="12"/>
  <c r="V144" i="12"/>
  <c r="U144" i="12"/>
  <c r="T144" i="12"/>
  <c r="S144" i="12"/>
  <c r="Q144" i="12"/>
  <c r="O144" i="12"/>
  <c r="M144" i="12"/>
  <c r="K144" i="12"/>
  <c r="X143" i="12"/>
  <c r="W143" i="12"/>
  <c r="V143" i="12"/>
  <c r="U143" i="12"/>
  <c r="T143" i="12"/>
  <c r="S143" i="12"/>
  <c r="Q143" i="12"/>
  <c r="O143" i="12"/>
  <c r="M143" i="12"/>
  <c r="K143" i="12"/>
  <c r="X142" i="12"/>
  <c r="W142" i="12"/>
  <c r="V142" i="12"/>
  <c r="U142" i="12"/>
  <c r="T142" i="12"/>
  <c r="S142" i="12"/>
  <c r="Q142" i="12"/>
  <c r="O142" i="12"/>
  <c r="M142" i="12"/>
  <c r="K142" i="12"/>
  <c r="X141" i="12"/>
  <c r="W141" i="12"/>
  <c r="V141" i="12"/>
  <c r="U141" i="12"/>
  <c r="T141" i="12"/>
  <c r="S141" i="12"/>
  <c r="Q141" i="12"/>
  <c r="O141" i="12"/>
  <c r="M141" i="12"/>
  <c r="K141" i="12"/>
  <c r="X140" i="12"/>
  <c r="W140" i="12"/>
  <c r="V140" i="12"/>
  <c r="U140" i="12"/>
  <c r="T140" i="12"/>
  <c r="S140" i="12"/>
  <c r="Q140" i="12"/>
  <c r="O140" i="12"/>
  <c r="M140" i="12"/>
  <c r="K140" i="12"/>
  <c r="X139" i="12"/>
  <c r="W139" i="12"/>
  <c r="V139" i="12"/>
  <c r="U139" i="12"/>
  <c r="T139" i="12"/>
  <c r="S139" i="12"/>
  <c r="Q139" i="12"/>
  <c r="O139" i="12"/>
  <c r="M139" i="12"/>
  <c r="K139" i="12"/>
  <c r="X138" i="12"/>
  <c r="W138" i="12"/>
  <c r="V138" i="12"/>
  <c r="U138" i="12"/>
  <c r="T138" i="12"/>
  <c r="S138" i="12"/>
  <c r="Q138" i="12"/>
  <c r="O138" i="12"/>
  <c r="M138" i="12"/>
  <c r="K138" i="12"/>
  <c r="X137" i="12"/>
  <c r="W137" i="12"/>
  <c r="V137" i="12"/>
  <c r="U137" i="12"/>
  <c r="T137" i="12"/>
  <c r="S137" i="12"/>
  <c r="Q137" i="12"/>
  <c r="O137" i="12"/>
  <c r="M137" i="12"/>
  <c r="K137" i="12"/>
  <c r="X136" i="12"/>
  <c r="W136" i="12"/>
  <c r="V136" i="12"/>
  <c r="U136" i="12"/>
  <c r="T136" i="12"/>
  <c r="S136" i="12"/>
  <c r="Q136" i="12"/>
  <c r="O136" i="12"/>
  <c r="M136" i="12"/>
  <c r="K136" i="12"/>
  <c r="X135" i="12"/>
  <c r="W135" i="12"/>
  <c r="V135" i="12"/>
  <c r="U135" i="12"/>
  <c r="T135" i="12"/>
  <c r="S135" i="12"/>
  <c r="Q135" i="12"/>
  <c r="O135" i="12"/>
  <c r="M135" i="12"/>
  <c r="K135" i="12"/>
  <c r="X134" i="12"/>
  <c r="W134" i="12"/>
  <c r="V134" i="12"/>
  <c r="U134" i="12"/>
  <c r="T134" i="12"/>
  <c r="S134" i="12"/>
  <c r="Q134" i="12"/>
  <c r="O134" i="12"/>
  <c r="M134" i="12"/>
  <c r="K134" i="12"/>
  <c r="X133" i="12"/>
  <c r="W133" i="12"/>
  <c r="V133" i="12"/>
  <c r="U133" i="12"/>
  <c r="T133" i="12"/>
  <c r="S133" i="12"/>
  <c r="Q133" i="12"/>
  <c r="O133" i="12"/>
  <c r="M133" i="12"/>
  <c r="K133" i="12"/>
  <c r="X132" i="12"/>
  <c r="W132" i="12"/>
  <c r="V132" i="12"/>
  <c r="U132" i="12"/>
  <c r="T132" i="12"/>
  <c r="S132" i="12"/>
  <c r="Q132" i="12"/>
  <c r="O132" i="12"/>
  <c r="M132" i="12"/>
  <c r="K132" i="12"/>
  <c r="X131" i="12"/>
  <c r="W131" i="12"/>
  <c r="V131" i="12"/>
  <c r="U131" i="12"/>
  <c r="T131" i="12"/>
  <c r="S131" i="12"/>
  <c r="Q131" i="12"/>
  <c r="O131" i="12"/>
  <c r="M131" i="12"/>
  <c r="K131" i="12"/>
  <c r="X130" i="12"/>
  <c r="W130" i="12"/>
  <c r="V130" i="12"/>
  <c r="U130" i="12"/>
  <c r="T130" i="12"/>
  <c r="S130" i="12"/>
  <c r="Q130" i="12"/>
  <c r="O130" i="12"/>
  <c r="M130" i="12"/>
  <c r="K130" i="12"/>
  <c r="X129" i="12"/>
  <c r="W129" i="12"/>
  <c r="V129" i="12"/>
  <c r="U129" i="12"/>
  <c r="T129" i="12"/>
  <c r="S129" i="12"/>
  <c r="Q129" i="12"/>
  <c r="O129" i="12"/>
  <c r="M129" i="12"/>
  <c r="K129" i="12"/>
  <c r="X128" i="12"/>
  <c r="W128" i="12"/>
  <c r="V128" i="12"/>
  <c r="U128" i="12"/>
  <c r="T128" i="12"/>
  <c r="S128" i="12"/>
  <c r="Q128" i="12"/>
  <c r="O128" i="12"/>
  <c r="M128" i="12"/>
  <c r="K128" i="12"/>
  <c r="X127" i="12"/>
  <c r="W127" i="12"/>
  <c r="V127" i="12"/>
  <c r="U127" i="12"/>
  <c r="T127" i="12"/>
  <c r="S127" i="12"/>
  <c r="Q127" i="12"/>
  <c r="O127" i="12"/>
  <c r="M127" i="12"/>
  <c r="K127" i="12"/>
  <c r="X126" i="12"/>
  <c r="W126" i="12"/>
  <c r="V126" i="12"/>
  <c r="U126" i="12"/>
  <c r="T126" i="12"/>
  <c r="S126" i="12"/>
  <c r="Q126" i="12"/>
  <c r="O126" i="12"/>
  <c r="M126" i="12"/>
  <c r="K126" i="12"/>
  <c r="X125" i="12"/>
  <c r="W125" i="12"/>
  <c r="V125" i="12"/>
  <c r="U125" i="12"/>
  <c r="T125" i="12"/>
  <c r="S125" i="12"/>
  <c r="Q125" i="12"/>
  <c r="O125" i="12"/>
  <c r="M125" i="12"/>
  <c r="K125" i="12"/>
  <c r="X124" i="12"/>
  <c r="W124" i="12"/>
  <c r="V124" i="12"/>
  <c r="U124" i="12"/>
  <c r="T124" i="12"/>
  <c r="S124" i="12"/>
  <c r="Q124" i="12"/>
  <c r="O124" i="12"/>
  <c r="M124" i="12"/>
  <c r="K124" i="12"/>
  <c r="X123" i="12"/>
  <c r="W123" i="12"/>
  <c r="V123" i="12"/>
  <c r="U123" i="12"/>
  <c r="T123" i="12"/>
  <c r="S123" i="12"/>
  <c r="Q123" i="12"/>
  <c r="O123" i="12"/>
  <c r="M123" i="12"/>
  <c r="K123" i="12"/>
  <c r="X122" i="12"/>
  <c r="W122" i="12"/>
  <c r="V122" i="12"/>
  <c r="U122" i="12"/>
  <c r="T122" i="12"/>
  <c r="S122" i="12"/>
  <c r="Q122" i="12"/>
  <c r="O122" i="12"/>
  <c r="M122" i="12"/>
  <c r="K122" i="12"/>
  <c r="X121" i="12"/>
  <c r="W121" i="12"/>
  <c r="V121" i="12"/>
  <c r="U121" i="12"/>
  <c r="T121" i="12"/>
  <c r="S121" i="12"/>
  <c r="Q121" i="12"/>
  <c r="O121" i="12"/>
  <c r="M121" i="12"/>
  <c r="K121" i="12"/>
  <c r="X120" i="12"/>
  <c r="W120" i="12"/>
  <c r="V120" i="12"/>
  <c r="U120" i="12"/>
  <c r="T120" i="12"/>
  <c r="S120" i="12"/>
  <c r="Q120" i="12"/>
  <c r="O120" i="12"/>
  <c r="M120" i="12"/>
  <c r="K120" i="12"/>
  <c r="X119" i="12"/>
  <c r="W119" i="12"/>
  <c r="V119" i="12"/>
  <c r="U119" i="12"/>
  <c r="T119" i="12"/>
  <c r="S119" i="12"/>
  <c r="Q119" i="12"/>
  <c r="O119" i="12"/>
  <c r="M119" i="12"/>
  <c r="K119" i="12"/>
  <c r="X118" i="12"/>
  <c r="W118" i="12"/>
  <c r="V118" i="12"/>
  <c r="U118" i="12"/>
  <c r="T118" i="12"/>
  <c r="S118" i="12"/>
  <c r="Q118" i="12"/>
  <c r="O118" i="12"/>
  <c r="M118" i="12"/>
  <c r="K118" i="12"/>
  <c r="X117" i="12"/>
  <c r="W117" i="12"/>
  <c r="V117" i="12"/>
  <c r="U117" i="12"/>
  <c r="T117" i="12"/>
  <c r="S117" i="12"/>
  <c r="Q117" i="12"/>
  <c r="O117" i="12"/>
  <c r="M117" i="12"/>
  <c r="K117" i="12"/>
  <c r="X116" i="12"/>
  <c r="W116" i="12"/>
  <c r="V116" i="12"/>
  <c r="U116" i="12"/>
  <c r="T116" i="12"/>
  <c r="S116" i="12"/>
  <c r="Q116" i="12"/>
  <c r="O116" i="12"/>
  <c r="M116" i="12"/>
  <c r="K116" i="12"/>
  <c r="X115" i="12"/>
  <c r="W115" i="12"/>
  <c r="V115" i="12"/>
  <c r="U115" i="12"/>
  <c r="T115" i="12"/>
  <c r="S115" i="12"/>
  <c r="Q115" i="12"/>
  <c r="O115" i="12"/>
  <c r="M115" i="12"/>
  <c r="K115" i="12"/>
  <c r="X114" i="12"/>
  <c r="W114" i="12"/>
  <c r="V114" i="12"/>
  <c r="U114" i="12"/>
  <c r="T114" i="12"/>
  <c r="S114" i="12"/>
  <c r="Q114" i="12"/>
  <c r="O114" i="12"/>
  <c r="M114" i="12"/>
  <c r="K114" i="12"/>
  <c r="X113" i="12"/>
  <c r="W113" i="12"/>
  <c r="V113" i="12"/>
  <c r="U113" i="12"/>
  <c r="T113" i="12"/>
  <c r="S113" i="12"/>
  <c r="Q113" i="12"/>
  <c r="O113" i="12"/>
  <c r="M113" i="12"/>
  <c r="K113" i="12"/>
  <c r="X112" i="12"/>
  <c r="W112" i="12"/>
  <c r="V112" i="12"/>
  <c r="U112" i="12"/>
  <c r="T112" i="12"/>
  <c r="S112" i="12"/>
  <c r="Q112" i="12"/>
  <c r="O112" i="12"/>
  <c r="M112" i="12"/>
  <c r="K112" i="12"/>
  <c r="X111" i="12"/>
  <c r="W111" i="12"/>
  <c r="V111" i="12"/>
  <c r="U111" i="12"/>
  <c r="T111" i="12"/>
  <c r="S111" i="12"/>
  <c r="Q111" i="12"/>
  <c r="O111" i="12"/>
  <c r="M111" i="12"/>
  <c r="K111" i="12"/>
  <c r="X110" i="12"/>
  <c r="W110" i="12"/>
  <c r="V110" i="12"/>
  <c r="U110" i="12"/>
  <c r="T110" i="12"/>
  <c r="S110" i="12"/>
  <c r="Q110" i="12"/>
  <c r="O110" i="12"/>
  <c r="M110" i="12"/>
  <c r="K110" i="12"/>
  <c r="X109" i="12"/>
  <c r="W109" i="12"/>
  <c r="V109" i="12"/>
  <c r="U109" i="12"/>
  <c r="T109" i="12"/>
  <c r="S109" i="12"/>
  <c r="Q109" i="12"/>
  <c r="O109" i="12"/>
  <c r="M109" i="12"/>
  <c r="K109" i="12"/>
  <c r="X108" i="12"/>
  <c r="W108" i="12"/>
  <c r="V108" i="12"/>
  <c r="U108" i="12"/>
  <c r="T108" i="12"/>
  <c r="S108" i="12"/>
  <c r="Q108" i="12"/>
  <c r="O108" i="12"/>
  <c r="M108" i="12"/>
  <c r="K108" i="12"/>
  <c r="X107" i="12"/>
  <c r="W107" i="12"/>
  <c r="V107" i="12"/>
  <c r="U107" i="12"/>
  <c r="T107" i="12"/>
  <c r="S107" i="12"/>
  <c r="Q107" i="12"/>
  <c r="O107" i="12"/>
  <c r="M107" i="12"/>
  <c r="K107" i="12"/>
  <c r="X106" i="12"/>
  <c r="W106" i="12"/>
  <c r="V106" i="12"/>
  <c r="U106" i="12"/>
  <c r="T106" i="12"/>
  <c r="S106" i="12"/>
  <c r="Q106" i="12"/>
  <c r="O106" i="12"/>
  <c r="M106" i="12"/>
  <c r="K106" i="12"/>
  <c r="X105" i="12"/>
  <c r="W105" i="12"/>
  <c r="V105" i="12"/>
  <c r="U105" i="12"/>
  <c r="T105" i="12"/>
  <c r="S105" i="12"/>
  <c r="Q105" i="12"/>
  <c r="O105" i="12"/>
  <c r="M105" i="12"/>
  <c r="K105" i="12"/>
  <c r="X104" i="12"/>
  <c r="W104" i="12"/>
  <c r="V104" i="12"/>
  <c r="U104" i="12"/>
  <c r="T104" i="12"/>
  <c r="S104" i="12"/>
  <c r="Q104" i="12"/>
  <c r="O104" i="12"/>
  <c r="M104" i="12"/>
  <c r="K104" i="12"/>
  <c r="X103" i="12"/>
  <c r="W103" i="12"/>
  <c r="V103" i="12"/>
  <c r="U103" i="12"/>
  <c r="T103" i="12"/>
  <c r="S103" i="12"/>
  <c r="Q103" i="12"/>
  <c r="O103" i="12"/>
  <c r="M103" i="12"/>
  <c r="K103" i="12"/>
  <c r="X102" i="12"/>
  <c r="W102" i="12"/>
  <c r="V102" i="12"/>
  <c r="U102" i="12"/>
  <c r="T102" i="12"/>
  <c r="S102" i="12"/>
  <c r="Q102" i="12"/>
  <c r="O102" i="12"/>
  <c r="M102" i="12"/>
  <c r="K102" i="12"/>
  <c r="X101" i="12"/>
  <c r="W101" i="12"/>
  <c r="V101" i="12"/>
  <c r="U101" i="12"/>
  <c r="T101" i="12"/>
  <c r="S101" i="12"/>
  <c r="Q101" i="12"/>
  <c r="O101" i="12"/>
  <c r="M101" i="12"/>
  <c r="K101" i="12"/>
  <c r="X100" i="12"/>
  <c r="W100" i="12"/>
  <c r="V100" i="12"/>
  <c r="U100" i="12"/>
  <c r="T100" i="12"/>
  <c r="S100" i="12"/>
  <c r="Q100" i="12"/>
  <c r="O100" i="12"/>
  <c r="M100" i="12"/>
  <c r="K100" i="12"/>
  <c r="X99" i="12"/>
  <c r="W99" i="12"/>
  <c r="V99" i="12"/>
  <c r="U99" i="12"/>
  <c r="T99" i="12"/>
  <c r="S99" i="12"/>
  <c r="Q99" i="12"/>
  <c r="O99" i="12"/>
  <c r="M99" i="12"/>
  <c r="K99" i="12"/>
  <c r="X98" i="12"/>
  <c r="W98" i="12"/>
  <c r="V98" i="12"/>
  <c r="U98" i="12"/>
  <c r="T98" i="12"/>
  <c r="S98" i="12"/>
  <c r="Q98" i="12"/>
  <c r="O98" i="12"/>
  <c r="M98" i="12"/>
  <c r="K98" i="12"/>
  <c r="X97" i="12"/>
  <c r="W97" i="12"/>
  <c r="V97" i="12"/>
  <c r="U97" i="12"/>
  <c r="T97" i="12"/>
  <c r="S97" i="12"/>
  <c r="Q97" i="12"/>
  <c r="O97" i="12"/>
  <c r="M97" i="12"/>
  <c r="K97" i="12"/>
  <c r="X96" i="12"/>
  <c r="W96" i="12"/>
  <c r="V96" i="12"/>
  <c r="U96" i="12"/>
  <c r="T96" i="12"/>
  <c r="S96" i="12"/>
  <c r="Q96" i="12"/>
  <c r="O96" i="12"/>
  <c r="M96" i="12"/>
  <c r="K96" i="12"/>
  <c r="X95" i="12"/>
  <c r="W95" i="12"/>
  <c r="V95" i="12"/>
  <c r="U95" i="12"/>
  <c r="T95" i="12"/>
  <c r="S95" i="12"/>
  <c r="Q95" i="12"/>
  <c r="O95" i="12"/>
  <c r="M95" i="12"/>
  <c r="K95" i="12"/>
  <c r="X94" i="12"/>
  <c r="W94" i="12"/>
  <c r="V94" i="12"/>
  <c r="U94" i="12"/>
  <c r="T94" i="12"/>
  <c r="S94" i="12"/>
  <c r="Q94" i="12"/>
  <c r="O94" i="12"/>
  <c r="M94" i="12"/>
  <c r="K94" i="12"/>
  <c r="X93" i="12"/>
  <c r="W93" i="12"/>
  <c r="V93" i="12"/>
  <c r="U93" i="12"/>
  <c r="T93" i="12"/>
  <c r="S93" i="12"/>
  <c r="Q93" i="12"/>
  <c r="O93" i="12"/>
  <c r="M93" i="12"/>
  <c r="K93" i="12"/>
  <c r="X92" i="12"/>
  <c r="W92" i="12"/>
  <c r="V92" i="12"/>
  <c r="U92" i="12"/>
  <c r="T92" i="12"/>
  <c r="S92" i="12"/>
  <c r="Q92" i="12"/>
  <c r="O92" i="12"/>
  <c r="M92" i="12"/>
  <c r="K92" i="12"/>
  <c r="X91" i="12"/>
  <c r="W91" i="12"/>
  <c r="V91" i="12"/>
  <c r="U91" i="12"/>
  <c r="T91" i="12"/>
  <c r="S91" i="12"/>
  <c r="Q91" i="12"/>
  <c r="O91" i="12"/>
  <c r="M91" i="12"/>
  <c r="K91" i="12"/>
  <c r="X90" i="12"/>
  <c r="W90" i="12"/>
  <c r="V90" i="12"/>
  <c r="U90" i="12"/>
  <c r="T90" i="12"/>
  <c r="S90" i="12"/>
  <c r="Q90" i="12"/>
  <c r="O90" i="12"/>
  <c r="M90" i="12"/>
  <c r="K90" i="12"/>
  <c r="X89" i="12"/>
  <c r="W89" i="12"/>
  <c r="V89" i="12"/>
  <c r="U89" i="12"/>
  <c r="T89" i="12"/>
  <c r="S89" i="12"/>
  <c r="Q89" i="12"/>
  <c r="O89" i="12"/>
  <c r="M89" i="12"/>
  <c r="K89" i="12"/>
  <c r="X88" i="12"/>
  <c r="W88" i="12"/>
  <c r="V88" i="12"/>
  <c r="U88" i="12"/>
  <c r="T88" i="12"/>
  <c r="S88" i="12"/>
  <c r="Q88" i="12"/>
  <c r="O88" i="12"/>
  <c r="M88" i="12"/>
  <c r="K88" i="12"/>
  <c r="X87" i="12"/>
  <c r="W87" i="12"/>
  <c r="V87" i="12"/>
  <c r="U87" i="12"/>
  <c r="T87" i="12"/>
  <c r="S87" i="12"/>
  <c r="Q87" i="12"/>
  <c r="O87" i="12"/>
  <c r="M87" i="12"/>
  <c r="K87" i="12"/>
  <c r="X86" i="12"/>
  <c r="W86" i="12"/>
  <c r="V86" i="12"/>
  <c r="U86" i="12"/>
  <c r="T86" i="12"/>
  <c r="S86" i="12"/>
  <c r="Q86" i="12"/>
  <c r="O86" i="12"/>
  <c r="M86" i="12"/>
  <c r="K86" i="12"/>
  <c r="X85" i="12"/>
  <c r="W85" i="12"/>
  <c r="V85" i="12"/>
  <c r="U85" i="12"/>
  <c r="T85" i="12"/>
  <c r="S85" i="12"/>
  <c r="Q85" i="12"/>
  <c r="O85" i="12"/>
  <c r="M85" i="12"/>
  <c r="K85" i="12"/>
  <c r="X84" i="12"/>
  <c r="W84" i="12"/>
  <c r="V84" i="12"/>
  <c r="U84" i="12"/>
  <c r="T84" i="12"/>
  <c r="S84" i="12"/>
  <c r="Q84" i="12"/>
  <c r="O84" i="12"/>
  <c r="M84" i="12"/>
  <c r="K84" i="12"/>
  <c r="X83" i="12"/>
  <c r="W83" i="12"/>
  <c r="V83" i="12"/>
  <c r="U83" i="12"/>
  <c r="T83" i="12"/>
  <c r="S83" i="12"/>
  <c r="Q83" i="12"/>
  <c r="O83" i="12"/>
  <c r="M83" i="12"/>
  <c r="K83" i="12"/>
  <c r="X82" i="12"/>
  <c r="W82" i="12"/>
  <c r="V82" i="12"/>
  <c r="U82" i="12"/>
  <c r="T82" i="12"/>
  <c r="S82" i="12"/>
  <c r="Q82" i="12"/>
  <c r="O82" i="12"/>
  <c r="M82" i="12"/>
  <c r="K82" i="12"/>
  <c r="X81" i="12"/>
  <c r="W81" i="12"/>
  <c r="V81" i="12"/>
  <c r="U81" i="12"/>
  <c r="T81" i="12"/>
  <c r="S81" i="12"/>
  <c r="Q81" i="12"/>
  <c r="O81" i="12"/>
  <c r="M81" i="12"/>
  <c r="K81" i="12"/>
  <c r="X80" i="12"/>
  <c r="W80" i="12"/>
  <c r="V80" i="12"/>
  <c r="U80" i="12"/>
  <c r="T80" i="12"/>
  <c r="S80" i="12"/>
  <c r="Q80" i="12"/>
  <c r="O80" i="12"/>
  <c r="M80" i="12"/>
  <c r="K80" i="12"/>
  <c r="X79" i="12"/>
  <c r="W79" i="12"/>
  <c r="V79" i="12"/>
  <c r="U79" i="12"/>
  <c r="T79" i="12"/>
  <c r="S79" i="12"/>
  <c r="Q79" i="12"/>
  <c r="O79" i="12"/>
  <c r="M79" i="12"/>
  <c r="K79" i="12"/>
  <c r="X78" i="12"/>
  <c r="W78" i="12"/>
  <c r="V78" i="12"/>
  <c r="U78" i="12"/>
  <c r="T78" i="12"/>
  <c r="S78" i="12"/>
  <c r="Q78" i="12"/>
  <c r="O78" i="12"/>
  <c r="M78" i="12"/>
  <c r="K78" i="12"/>
  <c r="X77" i="12"/>
  <c r="W77" i="12"/>
  <c r="V77" i="12"/>
  <c r="U77" i="12"/>
  <c r="T77" i="12"/>
  <c r="S77" i="12"/>
  <c r="Q77" i="12"/>
  <c r="O77" i="12"/>
  <c r="M77" i="12"/>
  <c r="K77" i="12"/>
  <c r="X76" i="12"/>
  <c r="W76" i="12"/>
  <c r="V76" i="12"/>
  <c r="U76" i="12"/>
  <c r="T76" i="12"/>
  <c r="S76" i="12"/>
  <c r="Q76" i="12"/>
  <c r="O76" i="12"/>
  <c r="M76" i="12"/>
  <c r="K76" i="12"/>
  <c r="X75" i="12"/>
  <c r="W75" i="12"/>
  <c r="V75" i="12"/>
  <c r="U75" i="12"/>
  <c r="T75" i="12"/>
  <c r="S75" i="12"/>
  <c r="Q75" i="12"/>
  <c r="O75" i="12"/>
  <c r="M75" i="12"/>
  <c r="K75" i="12"/>
  <c r="X74" i="12"/>
  <c r="W74" i="12"/>
  <c r="V74" i="12"/>
  <c r="U74" i="12"/>
  <c r="T74" i="12"/>
  <c r="S74" i="12"/>
  <c r="Q74" i="12"/>
  <c r="O74" i="12"/>
  <c r="M74" i="12"/>
  <c r="K74" i="12"/>
  <c r="X73" i="12"/>
  <c r="W73" i="12"/>
  <c r="V73" i="12"/>
  <c r="U73" i="12"/>
  <c r="T73" i="12"/>
  <c r="S73" i="12"/>
  <c r="Q73" i="12"/>
  <c r="O73" i="12"/>
  <c r="M73" i="12"/>
  <c r="K73" i="12"/>
  <c r="X72" i="12"/>
  <c r="W72" i="12"/>
  <c r="V72" i="12"/>
  <c r="U72" i="12"/>
  <c r="T72" i="12"/>
  <c r="S72" i="12"/>
  <c r="Q72" i="12"/>
  <c r="O72" i="12"/>
  <c r="M72" i="12"/>
  <c r="K72" i="12"/>
  <c r="X71" i="12"/>
  <c r="W71" i="12"/>
  <c r="V71" i="12"/>
  <c r="U71" i="12"/>
  <c r="T71" i="12"/>
  <c r="S71" i="12"/>
  <c r="Q71" i="12"/>
  <c r="O71" i="12"/>
  <c r="M71" i="12"/>
  <c r="K71" i="12"/>
  <c r="X70" i="12"/>
  <c r="W70" i="12"/>
  <c r="V70" i="12"/>
  <c r="U70" i="12"/>
  <c r="T70" i="12"/>
  <c r="S70" i="12"/>
  <c r="Q70" i="12"/>
  <c r="O70" i="12"/>
  <c r="M70" i="12"/>
  <c r="K70" i="12"/>
  <c r="X69" i="12"/>
  <c r="W69" i="12"/>
  <c r="V69" i="12"/>
  <c r="U69" i="12"/>
  <c r="T69" i="12"/>
  <c r="S69" i="12"/>
  <c r="Q69" i="12"/>
  <c r="O69" i="12"/>
  <c r="M69" i="12"/>
  <c r="K69" i="12"/>
  <c r="X68" i="12"/>
  <c r="W68" i="12"/>
  <c r="V68" i="12"/>
  <c r="U68" i="12"/>
  <c r="T68" i="12"/>
  <c r="S68" i="12"/>
  <c r="Q68" i="12"/>
  <c r="O68" i="12"/>
  <c r="M68" i="12"/>
  <c r="K68" i="12"/>
  <c r="X67" i="12"/>
  <c r="W67" i="12"/>
  <c r="V67" i="12"/>
  <c r="U67" i="12"/>
  <c r="T67" i="12"/>
  <c r="S67" i="12"/>
  <c r="Q67" i="12"/>
  <c r="O67" i="12"/>
  <c r="M67" i="12"/>
  <c r="K67" i="12"/>
  <c r="X66" i="12"/>
  <c r="W66" i="12"/>
  <c r="V66" i="12"/>
  <c r="U66" i="12"/>
  <c r="T66" i="12"/>
  <c r="S66" i="12"/>
  <c r="Q66" i="12"/>
  <c r="O66" i="12"/>
  <c r="M66" i="12"/>
  <c r="K66" i="12"/>
  <c r="X65" i="12"/>
  <c r="W65" i="12"/>
  <c r="V65" i="12"/>
  <c r="U65" i="12"/>
  <c r="T65" i="12"/>
  <c r="S65" i="12"/>
  <c r="Q65" i="12"/>
  <c r="O65" i="12"/>
  <c r="M65" i="12"/>
  <c r="K65" i="12"/>
  <c r="X64" i="12"/>
  <c r="W64" i="12"/>
  <c r="V64" i="12"/>
  <c r="U64" i="12"/>
  <c r="T64" i="12"/>
  <c r="S64" i="12"/>
  <c r="Q64" i="12"/>
  <c r="O64" i="12"/>
  <c r="M64" i="12"/>
  <c r="K64" i="12"/>
  <c r="X63" i="12"/>
  <c r="W63" i="12"/>
  <c r="V63" i="12"/>
  <c r="U63" i="12"/>
  <c r="T63" i="12"/>
  <c r="S63" i="12"/>
  <c r="Q63" i="12"/>
  <c r="O63" i="12"/>
  <c r="M63" i="12"/>
  <c r="K63" i="12"/>
  <c r="X62" i="12"/>
  <c r="W62" i="12"/>
  <c r="V62" i="12"/>
  <c r="U62" i="12"/>
  <c r="T62" i="12"/>
  <c r="S62" i="12"/>
  <c r="Q62" i="12"/>
  <c r="O62" i="12"/>
  <c r="M62" i="12"/>
  <c r="K62" i="12"/>
  <c r="X61" i="12"/>
  <c r="W61" i="12"/>
  <c r="V61" i="12"/>
  <c r="U61" i="12"/>
  <c r="T61" i="12"/>
  <c r="S61" i="12"/>
  <c r="Q61" i="12"/>
  <c r="O61" i="12"/>
  <c r="M61" i="12"/>
  <c r="K61" i="12"/>
  <c r="X60" i="12"/>
  <c r="W60" i="12"/>
  <c r="V60" i="12"/>
  <c r="U60" i="12"/>
  <c r="T60" i="12"/>
  <c r="S60" i="12"/>
  <c r="Q60" i="12"/>
  <c r="O60" i="12"/>
  <c r="M60" i="12"/>
  <c r="K60" i="12"/>
  <c r="X59" i="12"/>
  <c r="W59" i="12"/>
  <c r="V59" i="12"/>
  <c r="U59" i="12"/>
  <c r="T59" i="12"/>
  <c r="S59" i="12"/>
  <c r="Q59" i="12"/>
  <c r="O59" i="12"/>
  <c r="M59" i="12"/>
  <c r="K59" i="12"/>
  <c r="X58" i="12"/>
  <c r="W58" i="12"/>
  <c r="V58" i="12"/>
  <c r="U58" i="12"/>
  <c r="T58" i="12"/>
  <c r="S58" i="12"/>
  <c r="Q58" i="12"/>
  <c r="O58" i="12"/>
  <c r="M58" i="12"/>
  <c r="K58" i="12"/>
  <c r="X57" i="12"/>
  <c r="W57" i="12"/>
  <c r="V57" i="12"/>
  <c r="U57" i="12"/>
  <c r="T57" i="12"/>
  <c r="S57" i="12"/>
  <c r="Q57" i="12"/>
  <c r="O57" i="12"/>
  <c r="M57" i="12"/>
  <c r="K57" i="12"/>
  <c r="X56" i="12"/>
  <c r="W56" i="12"/>
  <c r="V56" i="12"/>
  <c r="U56" i="12"/>
  <c r="T56" i="12"/>
  <c r="S56" i="12"/>
  <c r="Q56" i="12"/>
  <c r="O56" i="12"/>
  <c r="M56" i="12"/>
  <c r="K56" i="12"/>
  <c r="X55" i="12"/>
  <c r="W55" i="12"/>
  <c r="V55" i="12"/>
  <c r="U55" i="12"/>
  <c r="T55" i="12"/>
  <c r="S55" i="12"/>
  <c r="Q55" i="12"/>
  <c r="O55" i="12"/>
  <c r="M55" i="12"/>
  <c r="K55" i="12"/>
  <c r="X54" i="12"/>
  <c r="W54" i="12"/>
  <c r="V54" i="12"/>
  <c r="U54" i="12"/>
  <c r="T54" i="12"/>
  <c r="S54" i="12"/>
  <c r="Q54" i="12"/>
  <c r="O54" i="12"/>
  <c r="M54" i="12"/>
  <c r="K54" i="12"/>
  <c r="X53" i="12"/>
  <c r="W53" i="12"/>
  <c r="V53" i="12"/>
  <c r="U53" i="12"/>
  <c r="T53" i="12"/>
  <c r="S53" i="12"/>
  <c r="Q53" i="12"/>
  <c r="O53" i="12"/>
  <c r="M53" i="12"/>
  <c r="K53" i="12"/>
  <c r="X52" i="12"/>
  <c r="W52" i="12"/>
  <c r="V52" i="12"/>
  <c r="U52" i="12"/>
  <c r="T52" i="12"/>
  <c r="S52" i="12"/>
  <c r="Q52" i="12"/>
  <c r="O52" i="12"/>
  <c r="M52" i="12"/>
  <c r="K52" i="12"/>
  <c r="X51" i="12"/>
  <c r="W51" i="12"/>
  <c r="V51" i="12"/>
  <c r="U51" i="12"/>
  <c r="T51" i="12"/>
  <c r="S51" i="12"/>
  <c r="Q51" i="12"/>
  <c r="O51" i="12"/>
  <c r="M51" i="12"/>
  <c r="K51" i="12"/>
  <c r="X50" i="12"/>
  <c r="W50" i="12"/>
  <c r="V50" i="12"/>
  <c r="U50" i="12"/>
  <c r="T50" i="12"/>
  <c r="S50" i="12"/>
  <c r="Q50" i="12"/>
  <c r="O50" i="12"/>
  <c r="M50" i="12"/>
  <c r="K50" i="12"/>
  <c r="X49" i="12"/>
  <c r="W49" i="12"/>
  <c r="V49" i="12"/>
  <c r="U49" i="12"/>
  <c r="T49" i="12"/>
  <c r="S49" i="12"/>
  <c r="Q49" i="12"/>
  <c r="O49" i="12"/>
  <c r="M49" i="12"/>
  <c r="K49" i="12"/>
  <c r="X48" i="12"/>
  <c r="W48" i="12"/>
  <c r="V48" i="12"/>
  <c r="U48" i="12"/>
  <c r="T48" i="12"/>
  <c r="S48" i="12"/>
  <c r="Q48" i="12"/>
  <c r="O48" i="12"/>
  <c r="M48" i="12"/>
  <c r="K48" i="12"/>
  <c r="X47" i="12"/>
  <c r="W47" i="12"/>
  <c r="V47" i="12"/>
  <c r="U47" i="12"/>
  <c r="T47" i="12"/>
  <c r="S47" i="12"/>
  <c r="Q47" i="12"/>
  <c r="O47" i="12"/>
  <c r="M47" i="12"/>
  <c r="K47" i="12"/>
  <c r="X46" i="12"/>
  <c r="W46" i="12"/>
  <c r="V46" i="12"/>
  <c r="U46" i="12"/>
  <c r="T46" i="12"/>
  <c r="S46" i="12"/>
  <c r="Q46" i="12"/>
  <c r="O46" i="12"/>
  <c r="M46" i="12"/>
  <c r="K46" i="12"/>
  <c r="X45" i="12"/>
  <c r="W45" i="12"/>
  <c r="V45" i="12"/>
  <c r="U45" i="12"/>
  <c r="T45" i="12"/>
  <c r="S45" i="12"/>
  <c r="Q45" i="12"/>
  <c r="O45" i="12"/>
  <c r="M45" i="12"/>
  <c r="K45" i="12"/>
  <c r="X44" i="12"/>
  <c r="W44" i="12"/>
  <c r="V44" i="12"/>
  <c r="U44" i="12"/>
  <c r="T44" i="12"/>
  <c r="S44" i="12"/>
  <c r="Q44" i="12"/>
  <c r="O44" i="12"/>
  <c r="M44" i="12"/>
  <c r="K44" i="12"/>
  <c r="X43" i="12"/>
  <c r="W43" i="12"/>
  <c r="V43" i="12"/>
  <c r="U43" i="12"/>
  <c r="T43" i="12"/>
  <c r="S43" i="12"/>
  <c r="Q43" i="12"/>
  <c r="O43" i="12"/>
  <c r="M43" i="12"/>
  <c r="K43" i="12"/>
  <c r="X42" i="12"/>
  <c r="W42" i="12"/>
  <c r="V42" i="12"/>
  <c r="U42" i="12"/>
  <c r="T42" i="12"/>
  <c r="S42" i="12"/>
  <c r="Q42" i="12"/>
  <c r="O42" i="12"/>
  <c r="M42" i="12"/>
  <c r="K42" i="12"/>
  <c r="X41" i="12"/>
  <c r="W41" i="12"/>
  <c r="V41" i="12"/>
  <c r="U41" i="12"/>
  <c r="T41" i="12"/>
  <c r="S41" i="12"/>
  <c r="Q41" i="12"/>
  <c r="O41" i="12"/>
  <c r="M41" i="12"/>
  <c r="K41" i="12"/>
  <c r="X40" i="12"/>
  <c r="W40" i="12"/>
  <c r="V40" i="12"/>
  <c r="U40" i="12"/>
  <c r="T40" i="12"/>
  <c r="S40" i="12"/>
  <c r="Q40" i="12"/>
  <c r="O40" i="12"/>
  <c r="M40" i="12"/>
  <c r="K40" i="12"/>
  <c r="X39" i="12"/>
  <c r="W39" i="12"/>
  <c r="V39" i="12"/>
  <c r="U39" i="12"/>
  <c r="T39" i="12"/>
  <c r="S39" i="12"/>
  <c r="Q39" i="12"/>
  <c r="O39" i="12"/>
  <c r="M39" i="12"/>
  <c r="K39" i="12"/>
  <c r="X38" i="12"/>
  <c r="W38" i="12"/>
  <c r="V38" i="12"/>
  <c r="U38" i="12"/>
  <c r="T38" i="12"/>
  <c r="S38" i="12"/>
  <c r="Q38" i="12"/>
  <c r="O38" i="12"/>
  <c r="M38" i="12"/>
  <c r="K38" i="12"/>
  <c r="X37" i="12"/>
  <c r="W37" i="12"/>
  <c r="V37" i="12"/>
  <c r="U37" i="12"/>
  <c r="T37" i="12"/>
  <c r="S37" i="12"/>
  <c r="Q37" i="12"/>
  <c r="O37" i="12"/>
  <c r="M37" i="12"/>
  <c r="K37" i="12"/>
  <c r="X36" i="12"/>
  <c r="W36" i="12"/>
  <c r="V36" i="12"/>
  <c r="U36" i="12"/>
  <c r="T36" i="12"/>
  <c r="S36" i="12"/>
  <c r="Q36" i="12"/>
  <c r="O36" i="12"/>
  <c r="M36" i="12"/>
  <c r="K36" i="12"/>
  <c r="X35" i="12"/>
  <c r="W35" i="12"/>
  <c r="V35" i="12"/>
  <c r="U35" i="12"/>
  <c r="T35" i="12"/>
  <c r="S35" i="12"/>
  <c r="Q35" i="12"/>
  <c r="O35" i="12"/>
  <c r="M35" i="12"/>
  <c r="K35" i="12"/>
  <c r="X34" i="12"/>
  <c r="W34" i="12"/>
  <c r="V34" i="12"/>
  <c r="U34" i="12"/>
  <c r="T34" i="12"/>
  <c r="S34" i="12"/>
  <c r="Q34" i="12"/>
  <c r="O34" i="12"/>
  <c r="M34" i="12"/>
  <c r="K34" i="12"/>
  <c r="X33" i="12"/>
  <c r="W33" i="12"/>
  <c r="V33" i="12"/>
  <c r="U33" i="12"/>
  <c r="T33" i="12"/>
  <c r="S33" i="12"/>
  <c r="Q33" i="12"/>
  <c r="O33" i="12"/>
  <c r="M33" i="12"/>
  <c r="K33" i="12"/>
  <c r="X32" i="12"/>
  <c r="W32" i="12"/>
  <c r="V32" i="12"/>
  <c r="U32" i="12"/>
  <c r="T32" i="12"/>
  <c r="S32" i="12"/>
  <c r="Q32" i="12"/>
  <c r="O32" i="12"/>
  <c r="M32" i="12"/>
  <c r="K32" i="12"/>
  <c r="X31" i="12"/>
  <c r="W31" i="12"/>
  <c r="V31" i="12"/>
  <c r="U31" i="12"/>
  <c r="T31" i="12"/>
  <c r="S31" i="12"/>
  <c r="Q31" i="12"/>
  <c r="O31" i="12"/>
  <c r="M31" i="12"/>
  <c r="K31" i="12"/>
  <c r="X30" i="12"/>
  <c r="W30" i="12"/>
  <c r="V30" i="12"/>
  <c r="U30" i="12"/>
  <c r="T30" i="12"/>
  <c r="S30" i="12"/>
  <c r="Q30" i="12"/>
  <c r="O30" i="12"/>
  <c r="M30" i="12"/>
  <c r="K30" i="12"/>
  <c r="X29" i="12"/>
  <c r="W29" i="12"/>
  <c r="V29" i="12"/>
  <c r="U29" i="12"/>
  <c r="T29" i="12"/>
  <c r="S29" i="12"/>
  <c r="Q29" i="12"/>
  <c r="O29" i="12"/>
  <c r="M29" i="12"/>
  <c r="K29" i="12"/>
  <c r="X28" i="12"/>
  <c r="W28" i="12"/>
  <c r="V28" i="12"/>
  <c r="U28" i="12"/>
  <c r="T28" i="12"/>
  <c r="S28" i="12"/>
  <c r="Q28" i="12"/>
  <c r="O28" i="12"/>
  <c r="M28" i="12"/>
  <c r="K28" i="12"/>
  <c r="X27" i="12"/>
  <c r="W27" i="12"/>
  <c r="V27" i="12"/>
  <c r="U27" i="12"/>
  <c r="T27" i="12"/>
  <c r="S27" i="12"/>
  <c r="Q27" i="12"/>
  <c r="O27" i="12"/>
  <c r="M27" i="12"/>
  <c r="K27" i="12"/>
  <c r="X26" i="12"/>
  <c r="W26" i="12"/>
  <c r="V26" i="12"/>
  <c r="U26" i="12"/>
  <c r="T26" i="12"/>
  <c r="S26" i="12"/>
  <c r="Q26" i="12"/>
  <c r="O26" i="12"/>
  <c r="M26" i="12"/>
  <c r="K26" i="12"/>
  <c r="X25" i="12"/>
  <c r="W25" i="12"/>
  <c r="V25" i="12"/>
  <c r="U25" i="12"/>
  <c r="T25" i="12"/>
  <c r="S25" i="12"/>
  <c r="Q25" i="12"/>
  <c r="O25" i="12"/>
  <c r="M25" i="12"/>
  <c r="K25" i="12"/>
  <c r="X24" i="12"/>
  <c r="W24" i="12"/>
  <c r="V24" i="12"/>
  <c r="U24" i="12"/>
  <c r="T24" i="12"/>
  <c r="S24" i="12"/>
  <c r="Q24" i="12"/>
  <c r="O24" i="12"/>
  <c r="M24" i="12"/>
  <c r="K24" i="12"/>
  <c r="X23" i="12"/>
  <c r="W23" i="12"/>
  <c r="V23" i="12"/>
  <c r="U23" i="12"/>
  <c r="T23" i="12"/>
  <c r="S23" i="12"/>
  <c r="Q23" i="12"/>
  <c r="O23" i="12"/>
  <c r="M23" i="12"/>
  <c r="K23" i="12"/>
  <c r="X22" i="12"/>
  <c r="W22" i="12"/>
  <c r="V22" i="12"/>
  <c r="U22" i="12"/>
  <c r="T22" i="12"/>
  <c r="S22" i="12"/>
  <c r="Q22" i="12"/>
  <c r="O22" i="12"/>
  <c r="M22" i="12"/>
  <c r="K22" i="12"/>
  <c r="X21" i="12"/>
  <c r="W21" i="12"/>
  <c r="V21" i="12"/>
  <c r="U21" i="12"/>
  <c r="T21" i="12"/>
  <c r="S21" i="12"/>
  <c r="Q21" i="12"/>
  <c r="O21" i="12"/>
  <c r="M21" i="12"/>
  <c r="K21" i="12"/>
  <c r="X20" i="12"/>
  <c r="W20" i="12"/>
  <c r="V20" i="12"/>
  <c r="U20" i="12"/>
  <c r="T20" i="12"/>
  <c r="S20" i="12"/>
  <c r="Q20" i="12"/>
  <c r="O20" i="12"/>
  <c r="M20" i="12"/>
  <c r="K20" i="12"/>
  <c r="X19" i="12"/>
  <c r="W19" i="12"/>
  <c r="V19" i="12"/>
  <c r="U19" i="12"/>
  <c r="T19" i="12"/>
  <c r="S19" i="12"/>
  <c r="Q19" i="12"/>
  <c r="O19" i="12"/>
  <c r="M19" i="12"/>
  <c r="K19" i="12"/>
  <c r="X18" i="12"/>
  <c r="W18" i="12"/>
  <c r="V18" i="12"/>
  <c r="U18" i="12"/>
  <c r="T18" i="12"/>
  <c r="S18" i="12"/>
  <c r="Q18" i="12"/>
  <c r="O18" i="12"/>
  <c r="M18" i="12"/>
  <c r="K18" i="12"/>
  <c r="X17" i="12"/>
  <c r="W17" i="12"/>
  <c r="V17" i="12"/>
  <c r="U17" i="12"/>
  <c r="T17" i="12"/>
  <c r="S17" i="12"/>
  <c r="Q17" i="12"/>
  <c r="O17" i="12"/>
  <c r="M17" i="12"/>
  <c r="K17" i="12"/>
  <c r="X16" i="12"/>
  <c r="W16" i="12"/>
  <c r="V16" i="12"/>
  <c r="U16" i="12"/>
  <c r="T16" i="12"/>
  <c r="S16" i="12"/>
  <c r="Q16" i="12"/>
  <c r="O16" i="12"/>
  <c r="M16" i="12"/>
  <c r="K16" i="12"/>
  <c r="X15" i="12"/>
  <c r="W15" i="12"/>
  <c r="V15" i="12"/>
  <c r="U15" i="12"/>
  <c r="T15" i="12"/>
  <c r="S15" i="12"/>
  <c r="Q15" i="12"/>
  <c r="O15" i="12"/>
  <c r="M15" i="12"/>
  <c r="K15" i="12"/>
  <c r="X14" i="12"/>
  <c r="W14" i="12"/>
  <c r="V14" i="12"/>
  <c r="U14" i="12"/>
  <c r="T14" i="12"/>
  <c r="S14" i="12"/>
  <c r="Q14" i="12"/>
  <c r="O14" i="12"/>
  <c r="M14" i="12"/>
  <c r="K14" i="12"/>
  <c r="X13" i="12"/>
  <c r="W13" i="12"/>
  <c r="V13" i="12"/>
  <c r="U13" i="12"/>
  <c r="T13" i="12"/>
  <c r="S13" i="12"/>
  <c r="Q13" i="12"/>
  <c r="O13" i="12"/>
  <c r="M13" i="12"/>
  <c r="K13" i="12"/>
  <c r="X12" i="12"/>
  <c r="W12" i="12"/>
  <c r="V12" i="12"/>
  <c r="U12" i="12"/>
  <c r="T12" i="12"/>
  <c r="S12" i="12"/>
  <c r="Q12" i="12"/>
  <c r="O12" i="12"/>
  <c r="M12" i="12"/>
  <c r="K12" i="12"/>
  <c r="X11" i="12"/>
  <c r="W11" i="12"/>
  <c r="V11" i="12"/>
  <c r="U11" i="12"/>
  <c r="T11" i="12"/>
  <c r="S11" i="12"/>
  <c r="Q11" i="12"/>
  <c r="O11" i="12"/>
  <c r="M11" i="12"/>
  <c r="K11" i="12"/>
  <c r="X10" i="12"/>
  <c r="W10" i="12"/>
  <c r="V10" i="12"/>
  <c r="U10" i="12"/>
  <c r="T10" i="12"/>
  <c r="S10" i="12"/>
  <c r="Q10" i="12"/>
  <c r="O10" i="12"/>
  <c r="M10" i="12"/>
  <c r="K10" i="12"/>
  <c r="X9" i="12"/>
  <c r="W9" i="12"/>
  <c r="V9" i="12"/>
  <c r="U9" i="12"/>
  <c r="T9" i="12"/>
  <c r="S9" i="12"/>
  <c r="Q9" i="12"/>
  <c r="O9" i="12"/>
  <c r="M9" i="12"/>
  <c r="K9" i="12"/>
  <c r="X8" i="12"/>
  <c r="W8" i="12"/>
  <c r="V8" i="12"/>
  <c r="U8" i="12"/>
  <c r="T8" i="12"/>
  <c r="S8" i="12"/>
  <c r="Q8" i="12"/>
  <c r="O8" i="12"/>
  <c r="M8" i="12"/>
  <c r="K8" i="12"/>
  <c r="X7" i="12"/>
  <c r="W7" i="12"/>
  <c r="V7" i="12"/>
  <c r="U7" i="12"/>
  <c r="T7" i="12"/>
  <c r="S7" i="12"/>
  <c r="Q7" i="12"/>
  <c r="O7" i="12"/>
  <c r="M7" i="12"/>
  <c r="K7" i="12"/>
</calcChain>
</file>

<file path=xl/sharedStrings.xml><?xml version="1.0" encoding="utf-8"?>
<sst xmlns="http://schemas.openxmlformats.org/spreadsheetml/2006/main" count="43070" uniqueCount="1062">
  <si>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</si>
  <si>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　T　F　相　場　表</t>
    <rPh sb="6" eb="7">
      <t>ソウ</t>
    </rPh>
    <rPh sb="8" eb="9">
      <t>バ</t>
    </rPh>
    <rPh sb="10" eb="11">
      <t>ヒョウ</t>
    </rPh>
    <phoneticPr fontId="3"/>
  </si>
  <si>
    <t>Exchange-Traded Fund Quotations</t>
    <phoneticPr fontId="3"/>
  </si>
  <si>
    <t>年月</t>
    <phoneticPr fontId="8"/>
  </si>
  <si>
    <t>銘柄コード</t>
    <rPh sb="0" eb="2">
      <t>メイガラ</t>
    </rPh>
    <phoneticPr fontId="3"/>
  </si>
  <si>
    <t>日付</t>
    <rPh sb="0" eb="2">
      <t>ヒヅケ</t>
    </rPh>
    <phoneticPr fontId="3"/>
  </si>
  <si>
    <t>区分</t>
    <phoneticPr fontId="8"/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</si>
  <si>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</si>
  <si>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</si>
  <si>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</si>
  <si>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</si>
  <si>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</si>
  <si>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</si>
  <si>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</si>
  <si>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</si>
  <si>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</si>
  <si>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</si>
  <si>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</si>
  <si>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</si>
  <si>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  <phoneticPr fontId="8"/>
  </si>
  <si>
    <t>Code</t>
    <phoneticPr fontId="8"/>
  </si>
  <si>
    <t>銘柄名称</t>
    <phoneticPr fontId="8"/>
  </si>
  <si>
    <t>Issues</t>
  </si>
  <si>
    <t>銘柄属性</t>
    <rPh sb="0" eb="2">
      <t>メイガラ</t>
    </rPh>
    <rPh sb="2" eb="4">
      <t>ゾクセイ</t>
    </rPh>
    <phoneticPr fontId="8"/>
  </si>
  <si>
    <t>Attribute</t>
    <phoneticPr fontId="8"/>
  </si>
  <si>
    <t>Date</t>
    <phoneticPr fontId="3"/>
  </si>
  <si>
    <t>Sector</t>
    <phoneticPr fontId="8"/>
  </si>
  <si>
    <t>margin/loan</t>
    <phoneticPr fontId="8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</si>
  <si>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</si>
  <si>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</si>
  <si>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</si>
  <si>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</si>
  <si>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</si>
  <si>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</si>
  <si>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</si>
  <si>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</si>
  <si>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</si>
  <si>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</si>
  <si>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Days Traded</t>
    <phoneticPr fontId="3"/>
  </si>
  <si>
    <t>口(units）</t>
    <phoneticPr fontId="8"/>
  </si>
  <si>
    <t>円(￥)</t>
    <phoneticPr fontId="8"/>
  </si>
  <si>
    <t>口(units）</t>
  </si>
  <si>
    <t>1305</t>
  </si>
  <si>
    <t>ダイワ上場投信－トピックス　受益証券</t>
  </si>
  <si>
    <t>Daiwa ETF-TOPIX</t>
  </si>
  <si>
    <t/>
  </si>
  <si>
    <t>貸借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</si>
  <si>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</si>
  <si>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</si>
  <si>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</si>
  <si>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</si>
  <si>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</si>
  <si>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</si>
  <si>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</si>
  <si>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</si>
  <si>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</si>
  <si>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</si>
  <si>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</si>
  <si>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</si>
  <si>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</si>
  <si>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</si>
  <si>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</si>
  <si>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</si>
  <si>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</si>
  <si>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</si>
  <si>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</si>
  <si>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21</t>
  </si>
  <si>
    <t>1319</t>
  </si>
  <si>
    <t>ＮＥＸＴ　ＦＵＮＤＳ　日経３００株価指数連動型上場投信　受益証券</t>
  </si>
  <si>
    <t>NEXT FUNDS Nikkei 300 Index Exchange Traded Fund</t>
  </si>
  <si>
    <t>7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</si>
  <si>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</si>
  <si>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</si>
  <si>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</si>
  <si>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</si>
  <si>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</si>
  <si>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</si>
  <si>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</si>
  <si>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</si>
  <si>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</si>
  <si>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6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</si>
  <si>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</si>
  <si>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</si>
  <si>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</si>
  <si>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</si>
  <si>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</si>
  <si>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</si>
  <si>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20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</si>
  <si>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</si>
  <si>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</si>
  <si>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</si>
  <si>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</si>
  <si>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</si>
  <si>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</si>
  <si>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28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</si>
  <si>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</si>
  <si>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</si>
  <si>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</si>
  <si>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</si>
  <si>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</si>
  <si>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</si>
  <si>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</si>
  <si>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</si>
  <si>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</si>
  <si>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</si>
  <si>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</si>
  <si>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</si>
  <si>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</si>
  <si>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</si>
  <si>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</si>
  <si>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</si>
  <si>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</si>
  <si>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</si>
  <si>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</si>
  <si>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</si>
  <si>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</si>
  <si>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</si>
  <si>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</si>
  <si>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</si>
  <si>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</si>
  <si>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</si>
  <si>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</si>
  <si>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</si>
  <si>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</si>
  <si>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</si>
  <si>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</si>
  <si>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</si>
  <si>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</si>
  <si>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</si>
  <si>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</si>
  <si>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</si>
  <si>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</si>
  <si>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</si>
  <si>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</si>
  <si>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</si>
  <si>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</si>
  <si>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</si>
  <si>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</si>
  <si>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</si>
  <si>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</si>
  <si>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</si>
  <si>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</si>
  <si>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</si>
  <si>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</si>
  <si>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</si>
  <si>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</si>
  <si>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</si>
  <si>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</si>
  <si>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</si>
  <si>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</si>
  <si>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</si>
  <si>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</si>
  <si>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</si>
  <si>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</si>
  <si>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</si>
  <si>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</si>
  <si>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</si>
  <si>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</si>
  <si>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</si>
  <si>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</si>
  <si>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</si>
  <si>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</si>
  <si>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</si>
  <si>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</si>
  <si>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</si>
  <si>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</si>
  <si>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</si>
  <si>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</si>
  <si>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</si>
  <si>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</si>
  <si>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</si>
  <si>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</si>
  <si>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</si>
  <si>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</si>
  <si>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</si>
  <si>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</si>
  <si>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</si>
  <si>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</si>
  <si>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</si>
  <si>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</si>
  <si>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</si>
  <si>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</si>
  <si>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</si>
  <si>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</si>
  <si>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</si>
  <si>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</si>
  <si>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</si>
  <si>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</si>
  <si>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</si>
  <si>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</si>
  <si>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</si>
  <si>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</si>
  <si>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</si>
  <si>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</si>
  <si>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</si>
  <si>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</si>
  <si>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</si>
  <si>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</si>
  <si>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</si>
  <si>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</si>
  <si>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</si>
  <si>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</si>
  <si>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</si>
  <si>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</si>
  <si>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</si>
  <si>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</si>
  <si>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</si>
  <si>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</si>
  <si>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</si>
  <si>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</si>
  <si>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</si>
  <si>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</si>
  <si>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</si>
  <si>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</si>
  <si>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</si>
  <si>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</si>
  <si>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</si>
  <si>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</si>
  <si>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</si>
  <si>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</si>
  <si>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</si>
  <si>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</si>
  <si>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</si>
  <si>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</si>
  <si>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</si>
  <si>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</si>
  <si>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</si>
  <si>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</si>
  <si>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</si>
  <si>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</si>
  <si>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</si>
  <si>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</si>
  <si>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</si>
  <si>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</si>
  <si>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</si>
  <si>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</si>
  <si>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</si>
  <si>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</si>
  <si>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</si>
  <si>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</si>
  <si>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</si>
  <si>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</si>
  <si>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</si>
  <si>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</si>
  <si>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</si>
  <si>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</si>
  <si>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</si>
  <si>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</si>
  <si>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</si>
  <si>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</si>
  <si>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</si>
  <si>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</si>
  <si>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</si>
  <si>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</si>
  <si>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</si>
  <si>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</si>
  <si>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</si>
  <si>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</si>
  <si>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</si>
  <si>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</si>
  <si>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</si>
  <si>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</si>
  <si>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</si>
  <si>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</si>
  <si>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</si>
  <si>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</si>
  <si>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27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</si>
  <si>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</si>
  <si>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</si>
  <si>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</si>
  <si>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</si>
  <si>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</si>
  <si>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</si>
  <si>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</si>
  <si>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</si>
  <si>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</si>
  <si>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</si>
  <si>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</si>
  <si>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</si>
  <si>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</si>
  <si>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</si>
  <si>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</si>
  <si>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</si>
  <si>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</si>
  <si>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</si>
  <si>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</si>
  <si>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</si>
  <si>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</si>
  <si>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</si>
  <si>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</si>
  <si>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</si>
  <si>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</si>
  <si>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</si>
  <si>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</si>
  <si>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</si>
  <si>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</si>
  <si>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</si>
  <si>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</si>
  <si>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</si>
  <si>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</si>
  <si>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</si>
  <si>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</si>
  <si>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</si>
  <si>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</si>
  <si>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</si>
  <si>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</si>
  <si>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</si>
  <si>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</si>
  <si>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</si>
  <si>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</si>
  <si>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</si>
  <si>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</si>
  <si>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</si>
  <si>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</si>
  <si>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</si>
  <si>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</si>
  <si>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</si>
  <si>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</si>
  <si>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</si>
  <si>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</si>
  <si>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</si>
  <si>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</si>
  <si>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</si>
  <si>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</si>
  <si>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</si>
  <si>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</si>
  <si>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</si>
  <si>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</si>
  <si>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</si>
  <si>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</si>
  <si>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</si>
  <si>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</si>
  <si>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</si>
  <si>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</si>
  <si>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</si>
  <si>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</si>
  <si>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</si>
  <si>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</si>
  <si>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</si>
  <si>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</si>
  <si>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</si>
  <si>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</si>
  <si>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</si>
  <si>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</si>
  <si>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</si>
  <si>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</si>
  <si>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</si>
  <si>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</si>
  <si>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</si>
  <si>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</si>
  <si>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</si>
  <si>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</si>
  <si>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</si>
  <si>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</si>
  <si>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</si>
  <si>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</si>
  <si>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</si>
  <si>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</si>
  <si>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</si>
  <si>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</si>
  <si>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</si>
  <si>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</si>
  <si>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</si>
  <si>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</si>
  <si>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</si>
  <si>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</si>
  <si>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</si>
  <si>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</si>
  <si>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</si>
  <si>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</si>
  <si>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</si>
  <si>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</si>
  <si>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</si>
  <si>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</si>
  <si>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</si>
  <si>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</si>
  <si>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</si>
  <si>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</si>
  <si>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</si>
  <si>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</si>
  <si>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</si>
  <si>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</si>
  <si>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</si>
  <si>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</si>
  <si>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</si>
  <si>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</si>
  <si>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</si>
  <si>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</si>
  <si>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</si>
  <si>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</si>
  <si>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</si>
  <si>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</si>
  <si>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</si>
  <si>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</si>
  <si>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</si>
  <si>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</si>
  <si>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</si>
  <si>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</si>
  <si>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</si>
  <si>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</si>
  <si>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</si>
  <si>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</si>
  <si>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</si>
  <si>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</si>
  <si>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</si>
  <si>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</si>
  <si>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</si>
  <si>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</si>
  <si>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</si>
  <si>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</si>
  <si>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</si>
  <si>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</si>
  <si>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</si>
  <si>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</si>
  <si>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</si>
  <si>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</si>
  <si>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</si>
  <si>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</si>
  <si>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</si>
  <si>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</si>
  <si>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</si>
  <si>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</si>
  <si>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</si>
  <si>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</si>
  <si>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</si>
  <si>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</si>
  <si>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</si>
  <si>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</si>
  <si>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</si>
  <si>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</si>
  <si>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</si>
  <si>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</si>
  <si>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</si>
  <si>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</si>
  <si>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</si>
  <si>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</si>
  <si>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</si>
  <si>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</si>
  <si>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</si>
  <si>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</si>
  <si>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</si>
  <si>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</si>
  <si>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</si>
  <si>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</si>
  <si>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</si>
  <si>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</si>
  <si>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</si>
  <si>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</si>
  <si>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</si>
  <si>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</si>
  <si>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</si>
  <si>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</si>
  <si>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</si>
  <si>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</si>
  <si>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</si>
  <si>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</si>
  <si>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</si>
  <si>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</si>
  <si>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</si>
  <si>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</si>
  <si>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</si>
  <si>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</si>
  <si>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</si>
  <si>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</si>
  <si>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</si>
  <si>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</si>
  <si>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</si>
  <si>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</si>
  <si>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</si>
  <si>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</si>
  <si>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</si>
  <si>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</si>
  <si>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</si>
  <si>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</si>
  <si>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</si>
  <si>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</si>
  <si>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</si>
  <si>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</si>
  <si>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</si>
  <si>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</si>
  <si>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</si>
  <si>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</si>
  <si>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</si>
  <si>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</si>
  <si>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</si>
  <si>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</si>
  <si>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</si>
  <si>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</si>
  <si>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</si>
  <si>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</si>
  <si>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</si>
  <si>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</si>
  <si>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</si>
  <si>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</si>
  <si>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</si>
  <si>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</si>
  <si>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</si>
  <si>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</si>
  <si>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</si>
  <si>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</si>
  <si>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</si>
  <si>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</si>
  <si>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</si>
  <si>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</si>
  <si>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</si>
  <si>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</si>
  <si>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</si>
  <si>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</si>
  <si>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</si>
  <si>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</si>
  <si>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</si>
  <si>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</si>
  <si>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</si>
  <si>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</si>
  <si>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</si>
  <si>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</si>
  <si>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</si>
  <si>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</si>
  <si>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</si>
  <si>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</si>
  <si>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</si>
  <si>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</si>
  <si>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</si>
  <si>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</si>
  <si>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</si>
  <si>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</si>
  <si>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</si>
  <si>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</si>
  <si>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</si>
  <si>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</si>
  <si>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</si>
  <si>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</si>
  <si>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</si>
  <si>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</si>
  <si>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</si>
  <si>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</si>
  <si>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</si>
  <si>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</si>
  <si>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</si>
  <si>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</si>
  <si>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</si>
  <si>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</si>
  <si>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</si>
  <si>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</si>
  <si>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</si>
  <si>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</si>
  <si>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</si>
  <si>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</si>
  <si>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</si>
  <si>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</si>
  <si>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</si>
  <si>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</si>
  <si>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</si>
  <si>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</si>
  <si>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</si>
  <si>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</si>
  <si>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</si>
  <si>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</si>
  <si>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</si>
  <si>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</si>
  <si>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</si>
  <si>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</si>
  <si>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</si>
  <si>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</si>
  <si>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</si>
  <si>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</si>
  <si>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</si>
  <si>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</si>
  <si>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</si>
  <si>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</si>
  <si>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</si>
  <si>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</si>
  <si>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</si>
  <si>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</si>
  <si>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</si>
  <si>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</si>
  <si>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</si>
  <si>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</si>
  <si>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</si>
  <si>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</si>
  <si>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</si>
  <si>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</si>
  <si>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</si>
  <si>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</si>
  <si>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</si>
  <si>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</si>
  <si>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</si>
  <si>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</si>
  <si>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</si>
  <si>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</si>
  <si>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</si>
  <si>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</si>
  <si>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</si>
  <si>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</si>
  <si>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</si>
  <si>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</si>
  <si>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</si>
  <si>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</si>
  <si>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</si>
  <si>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</si>
  <si>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</si>
  <si>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</si>
  <si>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</si>
  <si>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</si>
  <si>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</si>
  <si>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</si>
  <si>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</si>
  <si>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</si>
  <si>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</si>
  <si>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</si>
  <si>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</si>
  <si>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</si>
  <si>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</si>
  <si>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</si>
  <si>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</si>
  <si>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</si>
  <si>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</si>
  <si>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</si>
  <si>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</si>
  <si>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</si>
  <si>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</si>
  <si>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</si>
  <si>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</si>
  <si>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</si>
  <si>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</si>
  <si>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</si>
  <si>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</si>
  <si>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</si>
  <si>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</si>
  <si>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</si>
  <si>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</si>
  <si>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</si>
  <si>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</si>
  <si>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</si>
  <si>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</si>
  <si>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</si>
  <si>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</si>
  <si>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</si>
  <si>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</si>
  <si>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</si>
  <si>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</si>
  <si>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</si>
  <si>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</si>
  <si>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</si>
  <si>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</si>
  <si>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</si>
  <si>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</si>
  <si>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</si>
  <si>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</si>
  <si>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</si>
  <si>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</si>
  <si>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</si>
  <si>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</si>
  <si>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</si>
  <si>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</si>
  <si>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</si>
  <si>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</si>
  <si>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</si>
  <si>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</si>
  <si>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</si>
  <si>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</si>
  <si>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</si>
  <si>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</si>
  <si>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</si>
  <si>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</si>
  <si>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</si>
  <si>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</si>
  <si>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</si>
  <si>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</si>
  <si>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</si>
  <si>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</si>
  <si>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</si>
  <si>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</si>
  <si>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</si>
  <si>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</si>
  <si>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</si>
  <si>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</si>
  <si>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</si>
  <si>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</si>
  <si>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</si>
  <si>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</si>
  <si>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</si>
  <si>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</si>
  <si>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</si>
  <si>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</si>
  <si>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</si>
  <si>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</si>
  <si>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</si>
  <si>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</si>
  <si>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</si>
  <si>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</si>
  <si>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</si>
  <si>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</si>
  <si>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</si>
  <si>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</si>
  <si>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14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</si>
  <si>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</si>
  <si>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</si>
  <si>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</si>
  <si>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</si>
  <si>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</si>
  <si>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</si>
  <si>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</si>
  <si>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</si>
  <si>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</si>
  <si>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</si>
  <si>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</si>
  <si>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</si>
  <si>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</si>
  <si>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</si>
  <si>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</si>
  <si>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</si>
  <si>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</si>
  <si>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</si>
  <si>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</si>
  <si>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</si>
  <si>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</si>
  <si>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</si>
  <si>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</si>
  <si>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</si>
  <si>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</si>
  <si>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</si>
  <si>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</si>
  <si>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</si>
  <si>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</si>
  <si>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</si>
  <si>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</si>
  <si>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</si>
  <si>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</si>
  <si>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</si>
  <si>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</si>
  <si>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</si>
  <si>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</si>
  <si>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</si>
  <si>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</si>
  <si>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</si>
  <si>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</si>
  <si>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</si>
  <si>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</si>
  <si>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</si>
  <si>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</si>
  <si>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</si>
  <si>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</si>
  <si>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</si>
  <si>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</si>
  <si>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</si>
  <si>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</si>
  <si>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</si>
  <si>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</si>
  <si>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</si>
  <si>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</si>
  <si>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</si>
  <si>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</si>
  <si>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</si>
  <si>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</si>
  <si>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</si>
  <si>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</si>
  <si>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</si>
  <si>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</si>
  <si>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</si>
  <si>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</si>
  <si>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</si>
  <si>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</si>
  <si>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</si>
  <si>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</si>
  <si>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</si>
  <si>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</si>
  <si>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</si>
  <si>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</si>
  <si>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</si>
  <si>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</si>
  <si>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</si>
  <si>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</si>
  <si>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</si>
  <si>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</si>
  <si>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</si>
  <si>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</si>
  <si>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</si>
  <si>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</si>
  <si>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</si>
  <si>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</si>
  <si>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</si>
  <si>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</si>
  <si>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</si>
  <si>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</si>
  <si>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</si>
  <si>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</si>
  <si>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</si>
  <si>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</si>
  <si>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</si>
  <si>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</si>
  <si>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</si>
  <si>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</si>
  <si>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</si>
  <si>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</si>
  <si>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</si>
  <si>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</si>
  <si>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</si>
  <si>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</si>
  <si>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</si>
  <si>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</si>
  <si>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</si>
  <si>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</si>
  <si>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</si>
  <si>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</si>
  <si>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</si>
  <si>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</si>
  <si>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</si>
  <si>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 xml:space="preserve">新規上場  </t>
  </si>
  <si>
    <t xml:space="preserve">New Listing  </t>
  </si>
  <si>
    <t>5</t>
  </si>
  <si>
    <t>4</t>
  </si>
  <si>
    <t>26</t>
  </si>
  <si>
    <t>12</t>
  </si>
  <si>
    <t>18</t>
  </si>
  <si>
    <t>25</t>
  </si>
  <si>
    <t>19</t>
  </si>
  <si>
    <t>2022/01</t>
  </si>
  <si>
    <t>31</t>
  </si>
  <si>
    <t>17</t>
  </si>
  <si>
    <t>24</t>
  </si>
  <si>
    <t>11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</si>
  <si>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</si>
  <si>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</si>
  <si>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</si>
  <si>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</si>
  <si>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</si>
  <si>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</si>
  <si>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</si>
  <si>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</si>
  <si>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</si>
  <si>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</si>
  <si>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</si>
  <si>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</si>
  <si>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</si>
  <si>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</si>
  <si>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</si>
  <si>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</si>
  <si>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</si>
  <si>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</si>
  <si>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</si>
  <si>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</si>
  <si>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</si>
  <si>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</si>
  <si>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</si>
  <si>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</si>
  <si>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</si>
  <si>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</si>
  <si>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</si>
  <si>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</si>
  <si>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</si>
  <si>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</si>
  <si>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</si>
  <si>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</si>
  <si>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</si>
  <si>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</si>
  <si>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</si>
  <si>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</si>
  <si>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</si>
  <si>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</si>
  <si>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</si>
  <si>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</si>
  <si>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</si>
  <si>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</si>
  <si>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</si>
  <si>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</si>
  <si>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</si>
  <si>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</si>
  <si>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</si>
  <si>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</si>
  <si>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</si>
  <si>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</si>
  <si>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</si>
  <si>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</si>
  <si>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</si>
  <si>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</si>
  <si>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</si>
  <si>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</si>
  <si>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</si>
  <si>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</si>
  <si>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</si>
  <si>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</si>
  <si>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</si>
  <si>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</si>
  <si>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</si>
  <si>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</si>
  <si>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</si>
  <si>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</si>
  <si>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</si>
  <si>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</si>
  <si>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 xml:space="preserve">2022/01/14  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</si>
  <si>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</si>
  <si>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</si>
  <si>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</si>
  <si>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</si>
  <si>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</si>
  <si>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</si>
  <si>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</si>
  <si>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</si>
  <si>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</si>
  <si>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</si>
  <si>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</si>
  <si>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</si>
  <si>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2022/02</t>
  </si>
  <si>
    <t>1</t>
  </si>
  <si>
    <t>10</t>
  </si>
  <si>
    <t>16</t>
  </si>
  <si>
    <t>3</t>
  </si>
  <si>
    <t>22</t>
  </si>
  <si>
    <t>2</t>
  </si>
  <si>
    <t>整</t>
  </si>
  <si>
    <t>9</t>
  </si>
  <si>
    <t>8</t>
  </si>
  <si>
    <t xml:space="preserve">新株落ち  </t>
  </si>
  <si>
    <t xml:space="preserve">ex-subscription right  </t>
  </si>
  <si>
    <t>15</t>
  </si>
  <si>
    <t>2840</t>
  </si>
  <si>
    <t>ｉＦｒｅｅＥＴＦ　ＮＡＳＤＡＱ１００（為替ヘッジなし）　受益証券</t>
  </si>
  <si>
    <t>iFreeETF NASDAQ100 (NON HEDGED)</t>
  </si>
  <si>
    <t xml:space="preserve">2022/02/02  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</si>
  <si>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</si>
  <si>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</si>
  <si>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</si>
  <si>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</si>
  <si>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</si>
  <si>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</si>
  <si>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</si>
  <si>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</si>
  <si>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</si>
  <si>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 xml:space="preserve">2022/02/17  </t>
  </si>
  <si>
    <t>2844</t>
  </si>
  <si>
    <t>上場インデックスファンド豪州国債（為替ヘッジなし）　受益証券</t>
  </si>
  <si>
    <t>Listed Index Fund Australian Government Bond (No Currency Hedge)</t>
  </si>
  <si>
    <t>2022/03</t>
  </si>
  <si>
    <t>30</t>
  </si>
  <si>
    <t>23</t>
  </si>
  <si>
    <t>29</t>
  </si>
  <si>
    <t xml:space="preserve">上場廃止  </t>
  </si>
  <si>
    <t xml:space="preserve">Removal  </t>
  </si>
  <si>
    <t xml:space="preserve">2022/03/19  </t>
  </si>
  <si>
    <t>ＮＥＸＴ　ＦＵＮＤＳ　ＮＡＳＤＡＱ－１００（為替ヘッジなし）連動型上場投信　受益証券</t>
  </si>
  <si>
    <t>NEXT FUNDS NASDAQ-100(R) (Unhedged) Exchange Traded Fund</t>
  </si>
  <si>
    <t>ＮＥＸＴ　ＦＵＮＤＳ　ダウ・ジョーンズ工業株３０種平均株価（為替ヘッジなし）連動型上場投信　受益証券</t>
  </si>
  <si>
    <t>NEXT FUNDS DJIA (Unhedged) Exchange Traded Fund</t>
  </si>
  <si>
    <t xml:space="preserve">2022/03/17  </t>
  </si>
  <si>
    <t>2073</t>
  </si>
  <si>
    <t>スマートＥＳＧ３０低カーボンリスク（ネットリターン）ＥＴＮ　受益証券</t>
  </si>
  <si>
    <t>Smart ESG 30 Low Carbon Risk Net Return ETN</t>
  </si>
  <si>
    <t xml:space="preserve">2022/03/22  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</si>
  <si>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</si>
  <si>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</si>
  <si>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</si>
  <si>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 xml:space="preserve">2022/03/18  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</si>
  <si>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</si>
  <si>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</si>
  <si>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</si>
  <si>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</si>
  <si>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</si>
  <si>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</si>
  <si>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 xml:space="preserve">2022/03/24  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</si>
  <si>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</si>
  <si>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</si>
  <si>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</si>
  <si>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</si>
  <si>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</si>
  <si>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</si>
  <si>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2022/04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</si>
  <si>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</si>
  <si>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</si>
  <si>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</si>
  <si>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 xml:space="preserve">2022/04/08  </t>
  </si>
  <si>
    <t>2022/05</t>
  </si>
  <si>
    <t>2852</t>
  </si>
  <si>
    <t>ｉシェアーズ　グリーンＪリート　ＥＴＦ　受益証券</t>
  </si>
  <si>
    <t>iShares Japan Green REIT ETF</t>
  </si>
  <si>
    <t xml:space="preserve">2022/05/25  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</si>
  <si>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</si>
  <si>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</si>
  <si>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</si>
  <si>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2022/06</t>
  </si>
  <si>
    <t>ＮＥＸＴ　ＦＵＮＤＳ　ロシア株式指数連動型上場投信　受益証券</t>
  </si>
  <si>
    <t>NEXT FUNDS Russian Equity Index Exchange Traded Fund</t>
  </si>
  <si>
    <t>2851</t>
  </si>
  <si>
    <t>ｉシェアーズ　ＭＳＣＩ　ジャパンＳＲＩ　ＥＴＦ　受益証券</t>
  </si>
  <si>
    <t>iShares MSCI Japan SRI ETF</t>
  </si>
  <si>
    <t xml:space="preserve">2022/06/08  </t>
  </si>
  <si>
    <t>2854</t>
  </si>
  <si>
    <t>グローバルＸ　テック・トップ２０－日本株式　ＥＴＦ　受益証券</t>
  </si>
  <si>
    <t>Global X Japan Tech Top 20 ETF</t>
  </si>
  <si>
    <t xml:space="preserve">2022/06/24  </t>
  </si>
  <si>
    <t>2855</t>
  </si>
  <si>
    <t>グローバルＸ　グリーン・Ｊ－ＲＥＩＴ　ＥＴＦ　受益証券</t>
  </si>
  <si>
    <t>Global X Green J-REIT ETF</t>
  </si>
  <si>
    <t>2022/07</t>
  </si>
  <si>
    <t xml:space="preserve">2022/07/25  </t>
  </si>
  <si>
    <t>2856</t>
  </si>
  <si>
    <t>ｉシェアーズ　米国債３－７年　ＥＴＦ（為替ヘッジあり）　受益証券</t>
  </si>
  <si>
    <t>iShares 3-7 Year US Treasury Bond JPY Hedged ETF</t>
  </si>
  <si>
    <t xml:space="preserve">2022/07/27  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</si>
  <si>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</si>
  <si>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</si>
  <si>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</si>
  <si>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</si>
  <si>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</si>
  <si>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</si>
  <si>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 xml:space="preserve">2022/07/29  </t>
  </si>
  <si>
    <t>2022/08</t>
  </si>
  <si>
    <t>2861</t>
  </si>
  <si>
    <t>上場インデックスファンドフランス国債（為替ヘッジなし）　受益証券</t>
  </si>
  <si>
    <t>Listed Index Fund France Government Bond (No Currency Hedge)</t>
  </si>
  <si>
    <t xml:space="preserve">2022/08/17  </t>
  </si>
  <si>
    <t>2862</t>
  </si>
  <si>
    <t>上場インデックスファンドフランス国債（為替ヘッジあり）　受益証券</t>
  </si>
  <si>
    <t>Listed Index Fund France Government Bond (Currency Hedge)</t>
  </si>
  <si>
    <t>2022/09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</si>
  <si>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</si>
  <si>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</si>
  <si>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</si>
  <si>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 xml:space="preserve">2022/09/02  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</si>
  <si>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</si>
  <si>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</si>
  <si>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</si>
  <si>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</si>
  <si>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</si>
  <si>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</si>
  <si>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 xml:space="preserve">2022/09/16  </t>
  </si>
  <si>
    <t>2864</t>
  </si>
  <si>
    <t>グローバルＸ　ロジスティクス・ＲＥＩＴ　ＥＴＦ　受益証券</t>
  </si>
  <si>
    <t>Global X Logistics REIT ETF</t>
  </si>
  <si>
    <t xml:space="preserve">2022/09/30  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</si>
  <si>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</si>
  <si>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</si>
  <si>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</si>
  <si>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</si>
  <si>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</si>
  <si>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</si>
  <si>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2022/10</t>
  </si>
  <si>
    <t>東証スタンダードＴＯＰ２０ＥＴＦ　受益証券</t>
  </si>
  <si>
    <t>TSE Standard Top 20 ETF</t>
  </si>
  <si>
    <t>東証グロース・コアＥＴＦ　受益証券</t>
  </si>
  <si>
    <t>TSE Growth Core ETF</t>
  </si>
  <si>
    <t>2022/11</t>
  </si>
  <si>
    <t xml:space="preserve">2022/11/14  </t>
  </si>
  <si>
    <t>2867</t>
  </si>
  <si>
    <t>グローバルＸ　自動運転＆ＥＶ　ＥＴＦ　受益証券</t>
  </si>
  <si>
    <t>Global X Autonomous &amp; EV ETF</t>
  </si>
  <si>
    <t xml:space="preserve">2022/11/08  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</si>
  <si>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</si>
  <si>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</si>
  <si>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</si>
  <si>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</si>
  <si>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</si>
  <si>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Leveraged(2x)</t>
  </si>
  <si>
    <t xml:space="preserve">2022/11/16  </t>
  </si>
  <si>
    <t>2870</t>
  </si>
  <si>
    <t>ｉＦｒｅｅＥＴＦ　ＮＡＳＤＡＱ１００ダブルインバース　受益証券</t>
  </si>
  <si>
    <t>iFreeETF NASDAQ100 Double Inverse(-2x)</t>
  </si>
  <si>
    <t>2022/12</t>
  </si>
  <si>
    <t>2235</t>
  </si>
  <si>
    <t>上場インデックスファンド米国株式（ダウ平均）為替ヘッジなし　受益証券</t>
  </si>
  <si>
    <t>Listed Index Fund US Equity (Dow Average) No Currency Hedge</t>
  </si>
  <si>
    <t xml:space="preserve">2022/12/16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</si>
</sst>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4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9" fontId="11" fillId="0" borderId="17" xfId="2" applyNumberFormat="1" applyFont="1" applyBorder="1" applyAlignment="1">
      <alignment horizontal="right"/>
    </xf>
    <xf numFmtId="49" fontId="11" fillId="0" borderId="20" xfId="2" applyNumberFormat="1" applyFont="1" applyBorder="1" applyAlignment="1">
      <alignment horizontal="right"/>
    </xf>
    <xf numFmtId="49" fontId="11" fillId="0" borderId="19" xfId="2" applyNumberFormat="1" applyFont="1" applyBorder="1" applyAlignment="1">
      <alignment horizontal="right"/>
    </xf>
    <xf numFmtId="49" fontId="7" fillId="0" borderId="21" xfId="1" applyNumberFormat="1" applyFont="1" applyBorder="1" applyAlignment="1">
      <alignment horizontal="left" vertical="center"/>
    </xf>
    <xf numFmtId="49" fontId="7" fillId="0" borderId="22" xfId="1" applyNumberFormat="1" applyFont="1" applyBorder="1" applyAlignment="1">
      <alignment horizontal="left" vertical="center"/>
    </xf>
    <xf numFmtId="49" fontId="7" fillId="0" borderId="23" xfId="1" applyNumberFormat="1" applyFont="1" applyBorder="1" applyAlignment="1">
      <alignment horizontal="left" vertical="center"/>
    </xf>
    <xf numFmtId="49" fontId="7" fillId="0" borderId="24" xfId="1" applyNumberFormat="1" applyFont="1" applyBorder="1" applyAlignment="1">
      <alignment horizontal="left" vertical="center"/>
    </xf>
    <xf numFmtId="49" fontId="7" fillId="0" borderId="21" xfId="2" applyNumberFormat="1" applyFont="1" applyBorder="1" applyAlignment="1">
      <alignment horizontal="left"/>
    </xf>
    <xf numFmtId="3" fontId="7" fillId="0" borderId="21" xfId="2" applyNumberFormat="1" applyFont="1" applyBorder="1" applyAlignment="1">
      <alignment horizontal="right"/>
    </xf>
    <xf numFmtId="4" fontId="7" fillId="0" borderId="25" xfId="2" applyNumberFormat="1" applyFont="1" applyBorder="1" applyAlignment="1">
      <alignment horizontal="right"/>
    </xf>
    <xf numFmtId="49" fontId="7" fillId="0" borderId="24" xfId="2" applyNumberFormat="1" applyFont="1" applyBorder="1" applyAlignment="1">
      <alignment horizontal="right"/>
    </xf>
    <xf numFmtId="4" fontId="7" fillId="0" borderId="21" xfId="2" applyNumberFormat="1" applyFont="1" applyBorder="1" applyAlignment="1">
      <alignment horizontal="right"/>
    </xf>
    <xf numFmtId="176" fontId="7" fillId="0" borderId="21" xfId="2" applyNumberFormat="1" applyFont="1" applyBorder="1" applyAlignment="1">
      <alignment horizontal="right"/>
    </xf>
    <xf numFmtId="0" fontId="7" fillId="0" borderId="0" xfId="1" applyFont="1">
      <alignment vertical="center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3">
    <cellStyle name="標準" xfId="0" builtinId="0"/>
    <cellStyle name="標準 10 3" xfId="2" xr:uid="{52A9C9D1-04B4-4DEE-97C9-9E5BC12EDF58}"/>
    <cellStyle name="標準 132" xfId="1" xr:uid="{4B2E7684-C327-4DE2-8DB8-B03F9E102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7089-11D3-4B5B-B621-337692A320A4}">
  <sheetPr>
    <pageSetUpPr fitToPage="1"/>
  </sheetPr>
  <dimension ref="A1:X313"/>
  <sheetViews>
    <sheetView showGridLines="0" tabSelected="1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8.75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1057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2109.5</f>
        <v>2109.5</v>
      </c>
      <c r="L7" s="32" t="s">
        <v>904</v>
      </c>
      <c r="M7" s="31">
        <f>2110.5</f>
        <v>2110.5</v>
      </c>
      <c r="N7" s="32" t="s">
        <v>904</v>
      </c>
      <c r="O7" s="31">
        <f>1985</f>
        <v>1985</v>
      </c>
      <c r="P7" s="32" t="s">
        <v>936</v>
      </c>
      <c r="Q7" s="31">
        <f>1999</f>
        <v>1999</v>
      </c>
      <c r="R7" s="32" t="s">
        <v>934</v>
      </c>
      <c r="S7" s="33">
        <f>2041.45</f>
        <v>2041.45</v>
      </c>
      <c r="T7" s="30">
        <f>11561700</f>
        <v>11561700</v>
      </c>
      <c r="U7" s="30">
        <f>3561780</f>
        <v>3561780</v>
      </c>
      <c r="V7" s="30">
        <f>23517829046</f>
        <v>23517829046</v>
      </c>
      <c r="W7" s="30">
        <f>7221087931</f>
        <v>7221087931</v>
      </c>
      <c r="X7" s="34">
        <f>22</f>
        <v>22</v>
      </c>
    </row>
    <row r="8" spans="1:24" x14ac:dyDescent="0.15">
      <c r="A8" s="25" t="s">
        <v>1057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2086</f>
        <v>2086</v>
      </c>
      <c r="L8" s="32" t="s">
        <v>904</v>
      </c>
      <c r="M8" s="31">
        <f>2088</f>
        <v>2088</v>
      </c>
      <c r="N8" s="32" t="s">
        <v>904</v>
      </c>
      <c r="O8" s="31">
        <f>1963</f>
        <v>1963</v>
      </c>
      <c r="P8" s="32" t="s">
        <v>936</v>
      </c>
      <c r="Q8" s="31">
        <f>1974.5</f>
        <v>1974.5</v>
      </c>
      <c r="R8" s="32" t="s">
        <v>934</v>
      </c>
      <c r="S8" s="33">
        <f>2016.3</f>
        <v>2016.3</v>
      </c>
      <c r="T8" s="30">
        <f>46427210</f>
        <v>46427210</v>
      </c>
      <c r="U8" s="30">
        <f>4086010</f>
        <v>4086010</v>
      </c>
      <c r="V8" s="30">
        <f>93152456407</f>
        <v>93152456407</v>
      </c>
      <c r="W8" s="30">
        <f>8119375057</f>
        <v>8119375057</v>
      </c>
      <c r="X8" s="34">
        <f>22</f>
        <v>22</v>
      </c>
    </row>
    <row r="9" spans="1:24" x14ac:dyDescent="0.15">
      <c r="A9" s="25" t="s">
        <v>1057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2062</f>
        <v>2062</v>
      </c>
      <c r="L9" s="32" t="s">
        <v>904</v>
      </c>
      <c r="M9" s="31">
        <f>2062</f>
        <v>2062</v>
      </c>
      <c r="N9" s="32" t="s">
        <v>904</v>
      </c>
      <c r="O9" s="31">
        <f>1941.5</f>
        <v>1941.5</v>
      </c>
      <c r="P9" s="32" t="s">
        <v>936</v>
      </c>
      <c r="Q9" s="31">
        <f>1953</f>
        <v>1953</v>
      </c>
      <c r="R9" s="32" t="s">
        <v>934</v>
      </c>
      <c r="S9" s="33">
        <f>1994.52</f>
        <v>1994.52</v>
      </c>
      <c r="T9" s="30">
        <f>5334500</f>
        <v>5334500</v>
      </c>
      <c r="U9" s="30">
        <f>2104800</f>
        <v>2104800</v>
      </c>
      <c r="V9" s="30">
        <f>10630144750</f>
        <v>10630144750</v>
      </c>
      <c r="W9" s="30">
        <f>4204632200</f>
        <v>4204632200</v>
      </c>
      <c r="X9" s="34">
        <f>22</f>
        <v>22</v>
      </c>
    </row>
    <row r="10" spans="1:24" x14ac:dyDescent="0.15">
      <c r="A10" s="25" t="s">
        <v>1057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39310</f>
        <v>39310</v>
      </c>
      <c r="L10" s="32" t="s">
        <v>904</v>
      </c>
      <c r="M10" s="31">
        <f>40900</f>
        <v>40900</v>
      </c>
      <c r="N10" s="32" t="s">
        <v>70</v>
      </c>
      <c r="O10" s="31">
        <f>37640</f>
        <v>37640</v>
      </c>
      <c r="P10" s="32" t="s">
        <v>935</v>
      </c>
      <c r="Q10" s="31">
        <f>38500</f>
        <v>38500</v>
      </c>
      <c r="R10" s="32" t="s">
        <v>934</v>
      </c>
      <c r="S10" s="33">
        <f>39267.73</f>
        <v>39267.730000000003</v>
      </c>
      <c r="T10" s="30">
        <f>4992</f>
        <v>4992</v>
      </c>
      <c r="U10" s="30" t="str">
        <f>"－"</f>
        <v>－</v>
      </c>
      <c r="V10" s="30">
        <f>196988150</f>
        <v>196988150</v>
      </c>
      <c r="W10" s="30" t="str">
        <f>"－"</f>
        <v>－</v>
      </c>
      <c r="X10" s="34">
        <f>22</f>
        <v>22</v>
      </c>
    </row>
    <row r="11" spans="1:24" x14ac:dyDescent="0.15">
      <c r="A11" s="25" t="s">
        <v>1057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975.8</f>
        <v>975.8</v>
      </c>
      <c r="L11" s="32" t="s">
        <v>904</v>
      </c>
      <c r="M11" s="31">
        <f>980</f>
        <v>980</v>
      </c>
      <c r="N11" s="32" t="s">
        <v>904</v>
      </c>
      <c r="O11" s="31">
        <f>915</f>
        <v>915</v>
      </c>
      <c r="P11" s="32" t="s">
        <v>936</v>
      </c>
      <c r="Q11" s="31">
        <f>918.1</f>
        <v>918.1</v>
      </c>
      <c r="R11" s="32" t="s">
        <v>934</v>
      </c>
      <c r="S11" s="33">
        <f>941.52</f>
        <v>941.52</v>
      </c>
      <c r="T11" s="30">
        <f>89600</f>
        <v>89600</v>
      </c>
      <c r="U11" s="30" t="str">
        <f>"－"</f>
        <v>－</v>
      </c>
      <c r="V11" s="30">
        <f>84429108</f>
        <v>84429108</v>
      </c>
      <c r="W11" s="30" t="str">
        <f>"－"</f>
        <v>－</v>
      </c>
      <c r="X11" s="34">
        <f>22</f>
        <v>22</v>
      </c>
    </row>
    <row r="12" spans="1:24" x14ac:dyDescent="0.15">
      <c r="A12" s="25" t="s">
        <v>1057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 t="s">
        <v>333</v>
      </c>
      <c r="I12" s="29" t="s">
        <v>46</v>
      </c>
      <c r="J12" s="30">
        <v>1</v>
      </c>
      <c r="K12" s="31">
        <f>20975</f>
        <v>20975</v>
      </c>
      <c r="L12" s="32" t="s">
        <v>904</v>
      </c>
      <c r="M12" s="31">
        <f>20975</f>
        <v>20975</v>
      </c>
      <c r="N12" s="32" t="s">
        <v>904</v>
      </c>
      <c r="O12" s="31">
        <f>19800</f>
        <v>19800</v>
      </c>
      <c r="P12" s="32" t="s">
        <v>66</v>
      </c>
      <c r="Q12" s="31">
        <f>20400</f>
        <v>20400</v>
      </c>
      <c r="R12" s="32" t="s">
        <v>934</v>
      </c>
      <c r="S12" s="33">
        <f>20304.52</f>
        <v>20304.52</v>
      </c>
      <c r="T12" s="30">
        <f>531</f>
        <v>531</v>
      </c>
      <c r="U12" s="30" t="str">
        <f>"－"</f>
        <v>－</v>
      </c>
      <c r="V12" s="30">
        <f>10707470</f>
        <v>10707470</v>
      </c>
      <c r="W12" s="30" t="str">
        <f>"－"</f>
        <v>－</v>
      </c>
      <c r="X12" s="34">
        <f>21</f>
        <v>21</v>
      </c>
    </row>
    <row r="13" spans="1:24" x14ac:dyDescent="0.15">
      <c r="A13" s="25" t="s">
        <v>1057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3360</f>
        <v>3360</v>
      </c>
      <c r="L13" s="32" t="s">
        <v>904</v>
      </c>
      <c r="M13" s="31">
        <f>3420</f>
        <v>3420</v>
      </c>
      <c r="N13" s="32" t="s">
        <v>904</v>
      </c>
      <c r="O13" s="31">
        <f>2569.5</f>
        <v>2569.5</v>
      </c>
      <c r="P13" s="32" t="s">
        <v>266</v>
      </c>
      <c r="Q13" s="31">
        <f>2763</f>
        <v>2763</v>
      </c>
      <c r="R13" s="32" t="s">
        <v>934</v>
      </c>
      <c r="S13" s="33">
        <f>3114.25</f>
        <v>3114.25</v>
      </c>
      <c r="T13" s="30">
        <f>25920</f>
        <v>25920</v>
      </c>
      <c r="U13" s="30">
        <f>130</f>
        <v>130</v>
      </c>
      <c r="V13" s="30">
        <f>72989050</f>
        <v>72989050</v>
      </c>
      <c r="W13" s="30">
        <f>392575</f>
        <v>392575</v>
      </c>
      <c r="X13" s="34">
        <f>22</f>
        <v>22</v>
      </c>
    </row>
    <row r="14" spans="1:24" x14ac:dyDescent="0.15">
      <c r="A14" s="25" t="s">
        <v>1057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360.1</f>
        <v>360.1</v>
      </c>
      <c r="L14" s="32" t="s">
        <v>904</v>
      </c>
      <c r="M14" s="31">
        <f>360.1</f>
        <v>360.1</v>
      </c>
      <c r="N14" s="32" t="s">
        <v>904</v>
      </c>
      <c r="O14" s="31">
        <f>330.1</f>
        <v>330.1</v>
      </c>
      <c r="P14" s="32" t="s">
        <v>266</v>
      </c>
      <c r="Q14" s="31">
        <f>332.1</f>
        <v>332.1</v>
      </c>
      <c r="R14" s="32" t="s">
        <v>934</v>
      </c>
      <c r="S14" s="33">
        <f>341.17</f>
        <v>341.17</v>
      </c>
      <c r="T14" s="30">
        <f>83000</f>
        <v>83000</v>
      </c>
      <c r="U14" s="30" t="str">
        <f>"－"</f>
        <v>－</v>
      </c>
      <c r="V14" s="30">
        <f>27840800</f>
        <v>27840800</v>
      </c>
      <c r="W14" s="30" t="str">
        <f>"－"</f>
        <v>－</v>
      </c>
      <c r="X14" s="34">
        <f>13</f>
        <v>13</v>
      </c>
    </row>
    <row r="15" spans="1:24" x14ac:dyDescent="0.15">
      <c r="A15" s="25" t="s">
        <v>1057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29310</f>
        <v>29310</v>
      </c>
      <c r="L15" s="32" t="s">
        <v>904</v>
      </c>
      <c r="M15" s="31">
        <f>29330</f>
        <v>29330</v>
      </c>
      <c r="N15" s="32" t="s">
        <v>904</v>
      </c>
      <c r="O15" s="31">
        <f>26780</f>
        <v>26780</v>
      </c>
      <c r="P15" s="32" t="s">
        <v>936</v>
      </c>
      <c r="Q15" s="31">
        <f>26915</f>
        <v>26915</v>
      </c>
      <c r="R15" s="32" t="s">
        <v>934</v>
      </c>
      <c r="S15" s="33">
        <f>28049.77</f>
        <v>28049.77</v>
      </c>
      <c r="T15" s="30">
        <f>1179017</f>
        <v>1179017</v>
      </c>
      <c r="U15" s="30">
        <f>187621</f>
        <v>187621</v>
      </c>
      <c r="V15" s="30">
        <f>32911328168</f>
        <v>32911328168</v>
      </c>
      <c r="W15" s="30">
        <f>5276209573</f>
        <v>5276209573</v>
      </c>
      <c r="X15" s="34">
        <f>22</f>
        <v>22</v>
      </c>
    </row>
    <row r="16" spans="1:24" x14ac:dyDescent="0.15">
      <c r="A16" s="25" t="s">
        <v>1057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29400</f>
        <v>29400</v>
      </c>
      <c r="L16" s="32" t="s">
        <v>904</v>
      </c>
      <c r="M16" s="31">
        <f>29425</f>
        <v>29425</v>
      </c>
      <c r="N16" s="32" t="s">
        <v>904</v>
      </c>
      <c r="O16" s="31">
        <f>26860</f>
        <v>26860</v>
      </c>
      <c r="P16" s="32" t="s">
        <v>936</v>
      </c>
      <c r="Q16" s="31">
        <f>27000</f>
        <v>27000</v>
      </c>
      <c r="R16" s="32" t="s">
        <v>934</v>
      </c>
      <c r="S16" s="33">
        <f>28119.55</f>
        <v>28119.55</v>
      </c>
      <c r="T16" s="30">
        <f>6083253</f>
        <v>6083253</v>
      </c>
      <c r="U16" s="30">
        <f>935768</f>
        <v>935768</v>
      </c>
      <c r="V16" s="30">
        <f>170295505504</f>
        <v>170295505504</v>
      </c>
      <c r="W16" s="30">
        <f>26373675054</f>
        <v>26373675054</v>
      </c>
      <c r="X16" s="34">
        <f>22</f>
        <v>22</v>
      </c>
    </row>
    <row r="17" spans="1:24" x14ac:dyDescent="0.15">
      <c r="A17" s="25" t="s">
        <v>1057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7580</f>
        <v>7580</v>
      </c>
      <c r="L17" s="32" t="s">
        <v>904</v>
      </c>
      <c r="M17" s="31">
        <f>7820</f>
        <v>7820</v>
      </c>
      <c r="N17" s="32" t="s">
        <v>70</v>
      </c>
      <c r="O17" s="31">
        <f>7142</f>
        <v>7142</v>
      </c>
      <c r="P17" s="32" t="s">
        <v>935</v>
      </c>
      <c r="Q17" s="31">
        <f>7339</f>
        <v>7339</v>
      </c>
      <c r="R17" s="32" t="s">
        <v>934</v>
      </c>
      <c r="S17" s="33">
        <f>7554.23</f>
        <v>7554.23</v>
      </c>
      <c r="T17" s="30">
        <f>12440</f>
        <v>12440</v>
      </c>
      <c r="U17" s="30">
        <f>40</f>
        <v>40</v>
      </c>
      <c r="V17" s="30">
        <f>94336570</f>
        <v>94336570</v>
      </c>
      <c r="W17" s="30">
        <f>304730</f>
        <v>304730</v>
      </c>
      <c r="X17" s="34">
        <f>22</f>
        <v>22</v>
      </c>
    </row>
    <row r="18" spans="1:24" x14ac:dyDescent="0.15">
      <c r="A18" s="25" t="s">
        <v>1057</v>
      </c>
      <c r="B18" s="25" t="s">
        <v>84</v>
      </c>
      <c r="C18" s="25" t="s">
        <v>980</v>
      </c>
      <c r="D18" s="25" t="s">
        <v>981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 t="shared" ref="S18:X18" si="0">"－"</f>
        <v>－</v>
      </c>
      <c r="T18" s="30" t="str">
        <f t="shared" si="0"/>
        <v>－</v>
      </c>
      <c r="U18" s="30" t="str">
        <f t="shared" si="0"/>
        <v>－</v>
      </c>
      <c r="V18" s="30" t="str">
        <f t="shared" si="0"/>
        <v>－</v>
      </c>
      <c r="W18" s="30" t="str">
        <f t="shared" si="0"/>
        <v>－</v>
      </c>
      <c r="X18" s="34" t="str">
        <f t="shared" si="0"/>
        <v>－</v>
      </c>
    </row>
    <row r="19" spans="1:24" x14ac:dyDescent="0.15">
      <c r="A19" s="25" t="s">
        <v>1057</v>
      </c>
      <c r="B19" s="25" t="s">
        <v>88</v>
      </c>
      <c r="C19" s="25" t="s">
        <v>89</v>
      </c>
      <c r="D19" s="25" t="s">
        <v>90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217.2</f>
        <v>217.2</v>
      </c>
      <c r="L19" s="32" t="s">
        <v>904</v>
      </c>
      <c r="M19" s="31">
        <f>217.4</f>
        <v>217.4</v>
      </c>
      <c r="N19" s="32" t="s">
        <v>904</v>
      </c>
      <c r="O19" s="31">
        <f>193.9</f>
        <v>193.9</v>
      </c>
      <c r="P19" s="32" t="s">
        <v>94</v>
      </c>
      <c r="Q19" s="31">
        <f>196.5</f>
        <v>196.5</v>
      </c>
      <c r="R19" s="32" t="s">
        <v>934</v>
      </c>
      <c r="S19" s="33">
        <f>201.08</f>
        <v>201.08</v>
      </c>
      <c r="T19" s="30">
        <f>706500</f>
        <v>706500</v>
      </c>
      <c r="U19" s="30">
        <f>2400</f>
        <v>2400</v>
      </c>
      <c r="V19" s="30">
        <f>142398240</f>
        <v>142398240</v>
      </c>
      <c r="W19" s="30">
        <f>481780</f>
        <v>481780</v>
      </c>
      <c r="X19" s="34">
        <f>22</f>
        <v>22</v>
      </c>
    </row>
    <row r="20" spans="1:24" x14ac:dyDescent="0.15">
      <c r="A20" s="25" t="s">
        <v>1057</v>
      </c>
      <c r="B20" s="25" t="s">
        <v>91</v>
      </c>
      <c r="C20" s="25" t="s">
        <v>92</v>
      </c>
      <c r="D20" s="25" t="s">
        <v>93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22680</f>
        <v>22680</v>
      </c>
      <c r="L20" s="32" t="s">
        <v>904</v>
      </c>
      <c r="M20" s="31">
        <f>22870</f>
        <v>22870</v>
      </c>
      <c r="N20" s="32" t="s">
        <v>56</v>
      </c>
      <c r="O20" s="31">
        <f>22075</f>
        <v>22075</v>
      </c>
      <c r="P20" s="32" t="s">
        <v>935</v>
      </c>
      <c r="Q20" s="31">
        <f>22455</f>
        <v>22455</v>
      </c>
      <c r="R20" s="32" t="s">
        <v>934</v>
      </c>
      <c r="S20" s="33">
        <f>22545.45</f>
        <v>22545.45</v>
      </c>
      <c r="T20" s="30">
        <f>152074</f>
        <v>152074</v>
      </c>
      <c r="U20" s="30" t="str">
        <f>"－"</f>
        <v>－</v>
      </c>
      <c r="V20" s="30">
        <f>3424294685</f>
        <v>3424294685</v>
      </c>
      <c r="W20" s="30" t="str">
        <f>"－"</f>
        <v>－</v>
      </c>
      <c r="X20" s="34">
        <f>22</f>
        <v>22</v>
      </c>
    </row>
    <row r="21" spans="1:24" x14ac:dyDescent="0.15">
      <c r="A21" s="25" t="s">
        <v>1057</v>
      </c>
      <c r="B21" s="25" t="s">
        <v>95</v>
      </c>
      <c r="C21" s="25" t="s">
        <v>96</v>
      </c>
      <c r="D21" s="25" t="s">
        <v>97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6086</f>
        <v>6086</v>
      </c>
      <c r="L21" s="32" t="s">
        <v>904</v>
      </c>
      <c r="M21" s="31">
        <f>6136</f>
        <v>6136</v>
      </c>
      <c r="N21" s="32" t="s">
        <v>56</v>
      </c>
      <c r="O21" s="31">
        <f>5924</f>
        <v>5924</v>
      </c>
      <c r="P21" s="32" t="s">
        <v>87</v>
      </c>
      <c r="Q21" s="31">
        <f>6015</f>
        <v>6015</v>
      </c>
      <c r="R21" s="32" t="s">
        <v>934</v>
      </c>
      <c r="S21" s="33">
        <f>6050.32</f>
        <v>6050.32</v>
      </c>
      <c r="T21" s="30">
        <f>192470</f>
        <v>192470</v>
      </c>
      <c r="U21" s="30">
        <f>80</f>
        <v>80</v>
      </c>
      <c r="V21" s="30">
        <f>1158161170</f>
        <v>1158161170</v>
      </c>
      <c r="W21" s="30">
        <f>477850</f>
        <v>477850</v>
      </c>
      <c r="X21" s="34">
        <f>22</f>
        <v>22</v>
      </c>
    </row>
    <row r="22" spans="1:24" x14ac:dyDescent="0.15">
      <c r="A22" s="25" t="s">
        <v>1057</v>
      </c>
      <c r="B22" s="25" t="s">
        <v>98</v>
      </c>
      <c r="C22" s="25" t="s">
        <v>99</v>
      </c>
      <c r="D22" s="25" t="s">
        <v>100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29550</f>
        <v>29550</v>
      </c>
      <c r="L22" s="32" t="s">
        <v>904</v>
      </c>
      <c r="M22" s="31">
        <f>29595</f>
        <v>29595</v>
      </c>
      <c r="N22" s="32" t="s">
        <v>904</v>
      </c>
      <c r="O22" s="31">
        <f>27015</f>
        <v>27015</v>
      </c>
      <c r="P22" s="32" t="s">
        <v>936</v>
      </c>
      <c r="Q22" s="31">
        <f>27175</f>
        <v>27175</v>
      </c>
      <c r="R22" s="32" t="s">
        <v>934</v>
      </c>
      <c r="S22" s="33">
        <f>28282.73</f>
        <v>28282.73</v>
      </c>
      <c r="T22" s="30">
        <f>910504</f>
        <v>910504</v>
      </c>
      <c r="U22" s="30">
        <f>269569</f>
        <v>269569</v>
      </c>
      <c r="V22" s="30">
        <f>25531304457</f>
        <v>25531304457</v>
      </c>
      <c r="W22" s="30">
        <f>7586325642</f>
        <v>7586325642</v>
      </c>
      <c r="X22" s="34">
        <f>22</f>
        <v>22</v>
      </c>
    </row>
    <row r="23" spans="1:24" x14ac:dyDescent="0.15">
      <c r="A23" s="25" t="s">
        <v>1057</v>
      </c>
      <c r="B23" s="25" t="s">
        <v>101</v>
      </c>
      <c r="C23" s="25" t="s">
        <v>102</v>
      </c>
      <c r="D23" s="25" t="s">
        <v>103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29410</f>
        <v>29410</v>
      </c>
      <c r="L23" s="32" t="s">
        <v>904</v>
      </c>
      <c r="M23" s="31">
        <f>29450</f>
        <v>29450</v>
      </c>
      <c r="N23" s="32" t="s">
        <v>904</v>
      </c>
      <c r="O23" s="31">
        <f>26890</f>
        <v>26890</v>
      </c>
      <c r="P23" s="32" t="s">
        <v>936</v>
      </c>
      <c r="Q23" s="31">
        <f>27035</f>
        <v>27035</v>
      </c>
      <c r="R23" s="32" t="s">
        <v>934</v>
      </c>
      <c r="S23" s="33">
        <f>28159.09</f>
        <v>28159.09</v>
      </c>
      <c r="T23" s="30">
        <f>833580</f>
        <v>833580</v>
      </c>
      <c r="U23" s="30">
        <f>90360</f>
        <v>90360</v>
      </c>
      <c r="V23" s="30">
        <f>23357356785</f>
        <v>23357356785</v>
      </c>
      <c r="W23" s="30">
        <f>2499533435</f>
        <v>2499533435</v>
      </c>
      <c r="X23" s="34">
        <f>22</f>
        <v>22</v>
      </c>
    </row>
    <row r="24" spans="1:24" x14ac:dyDescent="0.15">
      <c r="A24" s="25" t="s">
        <v>1057</v>
      </c>
      <c r="B24" s="25" t="s">
        <v>104</v>
      </c>
      <c r="C24" s="25" t="s">
        <v>105</v>
      </c>
      <c r="D24" s="25" t="s">
        <v>106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2121</f>
        <v>2121</v>
      </c>
      <c r="L24" s="32" t="s">
        <v>904</v>
      </c>
      <c r="M24" s="31">
        <f>2121</f>
        <v>2121</v>
      </c>
      <c r="N24" s="32" t="s">
        <v>904</v>
      </c>
      <c r="O24" s="31">
        <f>1957.5</f>
        <v>1957.5</v>
      </c>
      <c r="P24" s="32" t="s">
        <v>87</v>
      </c>
      <c r="Q24" s="31">
        <f>2035.5</f>
        <v>2035.5</v>
      </c>
      <c r="R24" s="32" t="s">
        <v>934</v>
      </c>
      <c r="S24" s="33">
        <f>2059.52</f>
        <v>2059.52</v>
      </c>
      <c r="T24" s="30">
        <f>12936100</f>
        <v>12936100</v>
      </c>
      <c r="U24" s="30">
        <f>3140340</f>
        <v>3140340</v>
      </c>
      <c r="V24" s="30">
        <f>26393105798</f>
        <v>26393105798</v>
      </c>
      <c r="W24" s="30">
        <f>6470891278</f>
        <v>6470891278</v>
      </c>
      <c r="X24" s="34">
        <f>22</f>
        <v>22</v>
      </c>
    </row>
    <row r="25" spans="1:24" x14ac:dyDescent="0.15">
      <c r="A25" s="25" t="s">
        <v>1057</v>
      </c>
      <c r="B25" s="25" t="s">
        <v>107</v>
      </c>
      <c r="C25" s="25" t="s">
        <v>108</v>
      </c>
      <c r="D25" s="25" t="s">
        <v>109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1998.5</f>
        <v>1998.5</v>
      </c>
      <c r="L25" s="32" t="s">
        <v>904</v>
      </c>
      <c r="M25" s="31">
        <f>2001</f>
        <v>2001</v>
      </c>
      <c r="N25" s="32" t="s">
        <v>904</v>
      </c>
      <c r="O25" s="31">
        <f>1847.5</f>
        <v>1847.5</v>
      </c>
      <c r="P25" s="32" t="s">
        <v>87</v>
      </c>
      <c r="Q25" s="31">
        <f>1926</f>
        <v>1926</v>
      </c>
      <c r="R25" s="32" t="s">
        <v>934</v>
      </c>
      <c r="S25" s="33">
        <f>1943.05</f>
        <v>1943.05</v>
      </c>
      <c r="T25" s="30">
        <f>2393200</f>
        <v>2393200</v>
      </c>
      <c r="U25" s="30">
        <f>905800</f>
        <v>905800</v>
      </c>
      <c r="V25" s="30">
        <f>4646051571</f>
        <v>4646051571</v>
      </c>
      <c r="W25" s="30">
        <f>1764679471</f>
        <v>1764679471</v>
      </c>
      <c r="X25" s="34">
        <f>22</f>
        <v>22</v>
      </c>
    </row>
    <row r="26" spans="1:24" x14ac:dyDescent="0.15">
      <c r="A26" s="25" t="s">
        <v>1057</v>
      </c>
      <c r="B26" s="25" t="s">
        <v>110</v>
      </c>
      <c r="C26" s="25" t="s">
        <v>111</v>
      </c>
      <c r="D26" s="25" t="s">
        <v>112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29525</f>
        <v>29525</v>
      </c>
      <c r="L26" s="32" t="s">
        <v>904</v>
      </c>
      <c r="M26" s="31">
        <f>29550</f>
        <v>29550</v>
      </c>
      <c r="N26" s="32" t="s">
        <v>904</v>
      </c>
      <c r="O26" s="31">
        <f>26975</f>
        <v>26975</v>
      </c>
      <c r="P26" s="32" t="s">
        <v>936</v>
      </c>
      <c r="Q26" s="31">
        <f>27105</f>
        <v>27105</v>
      </c>
      <c r="R26" s="32" t="s">
        <v>934</v>
      </c>
      <c r="S26" s="33">
        <f>28279.09</f>
        <v>28279.09</v>
      </c>
      <c r="T26" s="30">
        <f>767263</f>
        <v>767263</v>
      </c>
      <c r="U26" s="30">
        <f>309112</f>
        <v>309112</v>
      </c>
      <c r="V26" s="30">
        <f>21471161814</f>
        <v>21471161814</v>
      </c>
      <c r="W26" s="30">
        <f>8619739594</f>
        <v>8619739594</v>
      </c>
      <c r="X26" s="34">
        <f>22</f>
        <v>22</v>
      </c>
    </row>
    <row r="27" spans="1:24" x14ac:dyDescent="0.15">
      <c r="A27" s="25" t="s">
        <v>1057</v>
      </c>
      <c r="B27" s="25" t="s">
        <v>113</v>
      </c>
      <c r="C27" s="25" t="s">
        <v>114</v>
      </c>
      <c r="D27" s="25" t="s">
        <v>115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2086.5</f>
        <v>2086.5</v>
      </c>
      <c r="L27" s="32" t="s">
        <v>904</v>
      </c>
      <c r="M27" s="31">
        <f>2089</f>
        <v>2089</v>
      </c>
      <c r="N27" s="32" t="s">
        <v>904</v>
      </c>
      <c r="O27" s="31">
        <f>1965</f>
        <v>1965</v>
      </c>
      <c r="P27" s="32" t="s">
        <v>936</v>
      </c>
      <c r="Q27" s="31">
        <f>1976</f>
        <v>1976</v>
      </c>
      <c r="R27" s="32" t="s">
        <v>934</v>
      </c>
      <c r="S27" s="33">
        <f>2019.52</f>
        <v>2019.52</v>
      </c>
      <c r="T27" s="30">
        <f>2200250</f>
        <v>2200250</v>
      </c>
      <c r="U27" s="30">
        <f>761840</f>
        <v>761840</v>
      </c>
      <c r="V27" s="30">
        <f>4438871956</f>
        <v>4438871956</v>
      </c>
      <c r="W27" s="30">
        <f>1553856456</f>
        <v>1553856456</v>
      </c>
      <c r="X27" s="34">
        <f>22</f>
        <v>22</v>
      </c>
    </row>
    <row r="28" spans="1:24" x14ac:dyDescent="0.15">
      <c r="A28" s="25" t="s">
        <v>1057</v>
      </c>
      <c r="B28" s="25" t="s">
        <v>116</v>
      </c>
      <c r="C28" s="25" t="s">
        <v>117</v>
      </c>
      <c r="D28" s="25" t="s">
        <v>118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14515</f>
        <v>14515</v>
      </c>
      <c r="L28" s="32" t="s">
        <v>909</v>
      </c>
      <c r="M28" s="31">
        <f>14740</f>
        <v>14740</v>
      </c>
      <c r="N28" s="32" t="s">
        <v>695</v>
      </c>
      <c r="O28" s="31">
        <f>14365</f>
        <v>14365</v>
      </c>
      <c r="P28" s="32" t="s">
        <v>266</v>
      </c>
      <c r="Q28" s="31">
        <f>14520</f>
        <v>14520</v>
      </c>
      <c r="R28" s="32" t="s">
        <v>934</v>
      </c>
      <c r="S28" s="33">
        <f>14562.06</f>
        <v>14562.06</v>
      </c>
      <c r="T28" s="30">
        <f>324</f>
        <v>324</v>
      </c>
      <c r="U28" s="30" t="str">
        <f>"－"</f>
        <v>－</v>
      </c>
      <c r="V28" s="30">
        <f>4733445</f>
        <v>4733445</v>
      </c>
      <c r="W28" s="30" t="str">
        <f>"－"</f>
        <v>－</v>
      </c>
      <c r="X28" s="34">
        <f>17</f>
        <v>17</v>
      </c>
    </row>
    <row r="29" spans="1:24" x14ac:dyDescent="0.15">
      <c r="A29" s="25" t="s">
        <v>1057</v>
      </c>
      <c r="B29" s="25" t="s">
        <v>119</v>
      </c>
      <c r="C29" s="25" t="s">
        <v>120</v>
      </c>
      <c r="D29" s="25" t="s">
        <v>121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863</f>
        <v>863</v>
      </c>
      <c r="L29" s="32" t="s">
        <v>904</v>
      </c>
      <c r="M29" s="31">
        <f>971</f>
        <v>971</v>
      </c>
      <c r="N29" s="32" t="s">
        <v>936</v>
      </c>
      <c r="O29" s="31">
        <f>862.1</f>
        <v>862.1</v>
      </c>
      <c r="P29" s="32" t="s">
        <v>904</v>
      </c>
      <c r="Q29" s="31">
        <f>964</f>
        <v>964</v>
      </c>
      <c r="R29" s="32" t="s">
        <v>934</v>
      </c>
      <c r="S29" s="33">
        <f>921.65</f>
        <v>921.65</v>
      </c>
      <c r="T29" s="30">
        <f>9188120</f>
        <v>9188120</v>
      </c>
      <c r="U29" s="30">
        <f>2200</f>
        <v>2200</v>
      </c>
      <c r="V29" s="30">
        <f>8523783430</f>
        <v>8523783430</v>
      </c>
      <c r="W29" s="30">
        <f>2084170</f>
        <v>2084170</v>
      </c>
      <c r="X29" s="34">
        <f>22</f>
        <v>22</v>
      </c>
    </row>
    <row r="30" spans="1:24" x14ac:dyDescent="0.15">
      <c r="A30" s="25" t="s">
        <v>1057</v>
      </c>
      <c r="B30" s="25" t="s">
        <v>122</v>
      </c>
      <c r="C30" s="25" t="s">
        <v>123</v>
      </c>
      <c r="D30" s="25" t="s">
        <v>124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332</f>
        <v>332</v>
      </c>
      <c r="L30" s="32" t="s">
        <v>904</v>
      </c>
      <c r="M30" s="31">
        <f>396</f>
        <v>396</v>
      </c>
      <c r="N30" s="32" t="s">
        <v>936</v>
      </c>
      <c r="O30" s="31">
        <f>331</f>
        <v>331</v>
      </c>
      <c r="P30" s="32" t="s">
        <v>904</v>
      </c>
      <c r="Q30" s="31">
        <f>391</f>
        <v>391</v>
      </c>
      <c r="R30" s="32" t="s">
        <v>934</v>
      </c>
      <c r="S30" s="33">
        <f>362.45</f>
        <v>362.45</v>
      </c>
      <c r="T30" s="30">
        <f>1561112752</f>
        <v>1561112752</v>
      </c>
      <c r="U30" s="30">
        <f>3007775</f>
        <v>3007775</v>
      </c>
      <c r="V30" s="30">
        <f>566222213051</f>
        <v>566222213051</v>
      </c>
      <c r="W30" s="30">
        <f>1010172958</f>
        <v>1010172958</v>
      </c>
      <c r="X30" s="34">
        <f>22</f>
        <v>22</v>
      </c>
    </row>
    <row r="31" spans="1:24" x14ac:dyDescent="0.15">
      <c r="A31" s="25" t="s">
        <v>1057</v>
      </c>
      <c r="B31" s="25" t="s">
        <v>125</v>
      </c>
      <c r="C31" s="25" t="s">
        <v>126</v>
      </c>
      <c r="D31" s="25" t="s">
        <v>127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28120</f>
        <v>28120</v>
      </c>
      <c r="L31" s="32" t="s">
        <v>904</v>
      </c>
      <c r="M31" s="31">
        <f>28140</f>
        <v>28140</v>
      </c>
      <c r="N31" s="32" t="s">
        <v>904</v>
      </c>
      <c r="O31" s="31">
        <f>23430</f>
        <v>23430</v>
      </c>
      <c r="P31" s="32" t="s">
        <v>936</v>
      </c>
      <c r="Q31" s="31">
        <f>23675</f>
        <v>23675</v>
      </c>
      <c r="R31" s="32" t="s">
        <v>934</v>
      </c>
      <c r="S31" s="33">
        <f>25725.68</f>
        <v>25725.68</v>
      </c>
      <c r="T31" s="30">
        <f>544179</f>
        <v>544179</v>
      </c>
      <c r="U31" s="30" t="str">
        <f>"－"</f>
        <v>－</v>
      </c>
      <c r="V31" s="30">
        <f>13968252535</f>
        <v>13968252535</v>
      </c>
      <c r="W31" s="30" t="str">
        <f>"－"</f>
        <v>－</v>
      </c>
      <c r="X31" s="34">
        <f>22</f>
        <v>22</v>
      </c>
    </row>
    <row r="32" spans="1:24" x14ac:dyDescent="0.15">
      <c r="A32" s="25" t="s">
        <v>1057</v>
      </c>
      <c r="B32" s="25" t="s">
        <v>128</v>
      </c>
      <c r="C32" s="25" t="s">
        <v>129</v>
      </c>
      <c r="D32" s="25" t="s">
        <v>130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810.8</f>
        <v>810.8</v>
      </c>
      <c r="L32" s="32" t="s">
        <v>904</v>
      </c>
      <c r="M32" s="31">
        <f>966.5</f>
        <v>966.5</v>
      </c>
      <c r="N32" s="32" t="s">
        <v>936</v>
      </c>
      <c r="O32" s="31">
        <f>810.8</f>
        <v>810.8</v>
      </c>
      <c r="P32" s="32" t="s">
        <v>904</v>
      </c>
      <c r="Q32" s="31">
        <f>956</f>
        <v>956</v>
      </c>
      <c r="R32" s="32" t="s">
        <v>934</v>
      </c>
      <c r="S32" s="33">
        <f>885.76</f>
        <v>885.76</v>
      </c>
      <c r="T32" s="30">
        <f>286956230</f>
        <v>286956230</v>
      </c>
      <c r="U32" s="30">
        <f>10050</f>
        <v>10050</v>
      </c>
      <c r="V32" s="30">
        <f>254439887162</f>
        <v>254439887162</v>
      </c>
      <c r="W32" s="30">
        <f>8773980</f>
        <v>8773980</v>
      </c>
      <c r="X32" s="34">
        <f>22</f>
        <v>22</v>
      </c>
    </row>
    <row r="33" spans="1:24" x14ac:dyDescent="0.15">
      <c r="A33" s="25" t="s">
        <v>1057</v>
      </c>
      <c r="B33" s="25" t="s">
        <v>131</v>
      </c>
      <c r="C33" s="25" t="s">
        <v>132</v>
      </c>
      <c r="D33" s="25" t="s">
        <v>133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18535</f>
        <v>18535</v>
      </c>
      <c r="L33" s="32" t="s">
        <v>904</v>
      </c>
      <c r="M33" s="31">
        <f>18640</f>
        <v>18640</v>
      </c>
      <c r="N33" s="32" t="s">
        <v>904</v>
      </c>
      <c r="O33" s="31">
        <f>17480</f>
        <v>17480</v>
      </c>
      <c r="P33" s="32" t="s">
        <v>936</v>
      </c>
      <c r="Q33" s="31">
        <f>17560</f>
        <v>17560</v>
      </c>
      <c r="R33" s="32" t="s">
        <v>934</v>
      </c>
      <c r="S33" s="33">
        <f>17974.77</f>
        <v>17974.77</v>
      </c>
      <c r="T33" s="30">
        <f>25898</f>
        <v>25898</v>
      </c>
      <c r="U33" s="30">
        <f>11000</f>
        <v>11000</v>
      </c>
      <c r="V33" s="30">
        <f>463511830</f>
        <v>463511830</v>
      </c>
      <c r="W33" s="30">
        <f>194101600</f>
        <v>194101600</v>
      </c>
      <c r="X33" s="34">
        <f>22</f>
        <v>22</v>
      </c>
    </row>
    <row r="34" spans="1:24" x14ac:dyDescent="0.15">
      <c r="A34" s="25" t="s">
        <v>1057</v>
      </c>
      <c r="B34" s="25" t="s">
        <v>134</v>
      </c>
      <c r="C34" s="25" t="s">
        <v>135</v>
      </c>
      <c r="D34" s="25" t="s">
        <v>136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23435</f>
        <v>23435</v>
      </c>
      <c r="L34" s="32" t="s">
        <v>904</v>
      </c>
      <c r="M34" s="31">
        <f>23440</f>
        <v>23440</v>
      </c>
      <c r="N34" s="32" t="s">
        <v>904</v>
      </c>
      <c r="O34" s="31">
        <f>19500</f>
        <v>19500</v>
      </c>
      <c r="P34" s="32" t="s">
        <v>936</v>
      </c>
      <c r="Q34" s="31">
        <f>19715</f>
        <v>19715</v>
      </c>
      <c r="R34" s="32" t="s">
        <v>934</v>
      </c>
      <c r="S34" s="33">
        <f>21428.64</f>
        <v>21428.639999999999</v>
      </c>
      <c r="T34" s="30">
        <f>997270</f>
        <v>997270</v>
      </c>
      <c r="U34" s="30">
        <f>35</f>
        <v>35</v>
      </c>
      <c r="V34" s="30">
        <f>21277223965</f>
        <v>21277223965</v>
      </c>
      <c r="W34" s="30">
        <f>715960</f>
        <v>715960</v>
      </c>
      <c r="X34" s="34">
        <f>22</f>
        <v>22</v>
      </c>
    </row>
    <row r="35" spans="1:24" x14ac:dyDescent="0.15">
      <c r="A35" s="25" t="s">
        <v>1057</v>
      </c>
      <c r="B35" s="25" t="s">
        <v>137</v>
      </c>
      <c r="C35" s="25" t="s">
        <v>138</v>
      </c>
      <c r="D35" s="25" t="s">
        <v>139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865</f>
        <v>865</v>
      </c>
      <c r="L35" s="32" t="s">
        <v>904</v>
      </c>
      <c r="M35" s="31">
        <f>1030</f>
        <v>1030</v>
      </c>
      <c r="N35" s="32" t="s">
        <v>936</v>
      </c>
      <c r="O35" s="31">
        <f>864</f>
        <v>864</v>
      </c>
      <c r="P35" s="32" t="s">
        <v>904</v>
      </c>
      <c r="Q35" s="31">
        <f>1018</f>
        <v>1018</v>
      </c>
      <c r="R35" s="32" t="s">
        <v>934</v>
      </c>
      <c r="S35" s="33">
        <f>944</f>
        <v>944</v>
      </c>
      <c r="T35" s="30">
        <f>23338315</f>
        <v>23338315</v>
      </c>
      <c r="U35" s="30">
        <f>3300114</f>
        <v>3300114</v>
      </c>
      <c r="V35" s="30">
        <f>22411977623</f>
        <v>22411977623</v>
      </c>
      <c r="W35" s="30">
        <f>3382932663</f>
        <v>3382932663</v>
      </c>
      <c r="X35" s="34">
        <f>22</f>
        <v>22</v>
      </c>
    </row>
    <row r="36" spans="1:24" x14ac:dyDescent="0.15">
      <c r="A36" s="25" t="s">
        <v>1057</v>
      </c>
      <c r="B36" s="25" t="s">
        <v>140</v>
      </c>
      <c r="C36" s="25" t="s">
        <v>141</v>
      </c>
      <c r="D36" s="25" t="s">
        <v>142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19925</f>
        <v>19925</v>
      </c>
      <c r="L36" s="32" t="s">
        <v>904</v>
      </c>
      <c r="M36" s="31">
        <f>19930</f>
        <v>19930</v>
      </c>
      <c r="N36" s="32" t="s">
        <v>904</v>
      </c>
      <c r="O36" s="31">
        <f>17570</f>
        <v>17570</v>
      </c>
      <c r="P36" s="32" t="s">
        <v>936</v>
      </c>
      <c r="Q36" s="31">
        <f>17775</f>
        <v>17775</v>
      </c>
      <c r="R36" s="32" t="s">
        <v>934</v>
      </c>
      <c r="S36" s="33">
        <f>18575.68</f>
        <v>18575.68</v>
      </c>
      <c r="T36" s="30">
        <f>129242</f>
        <v>129242</v>
      </c>
      <c r="U36" s="30" t="str">
        <f>"－"</f>
        <v>－</v>
      </c>
      <c r="V36" s="30">
        <f>2395061180</f>
        <v>2395061180</v>
      </c>
      <c r="W36" s="30" t="str">
        <f>"－"</f>
        <v>－</v>
      </c>
      <c r="X36" s="34">
        <f>22</f>
        <v>22</v>
      </c>
    </row>
    <row r="37" spans="1:24" x14ac:dyDescent="0.15">
      <c r="A37" s="25" t="s">
        <v>1057</v>
      </c>
      <c r="B37" s="25" t="s">
        <v>143</v>
      </c>
      <c r="C37" s="25" t="s">
        <v>144</v>
      </c>
      <c r="D37" s="25" t="s">
        <v>145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1250</f>
        <v>1250</v>
      </c>
      <c r="L37" s="32" t="s">
        <v>904</v>
      </c>
      <c r="M37" s="31">
        <f>1406</f>
        <v>1406</v>
      </c>
      <c r="N37" s="32" t="s">
        <v>936</v>
      </c>
      <c r="O37" s="31">
        <f>1249</f>
        <v>1249</v>
      </c>
      <c r="P37" s="32" t="s">
        <v>904</v>
      </c>
      <c r="Q37" s="31">
        <f>1389</f>
        <v>1389</v>
      </c>
      <c r="R37" s="32" t="s">
        <v>934</v>
      </c>
      <c r="S37" s="33">
        <f>1336.5</f>
        <v>1336.5</v>
      </c>
      <c r="T37" s="30">
        <f>1150264</f>
        <v>1150264</v>
      </c>
      <c r="U37" s="30">
        <f>5000</f>
        <v>5000</v>
      </c>
      <c r="V37" s="30">
        <f>1551979685</f>
        <v>1551979685</v>
      </c>
      <c r="W37" s="30">
        <f>6875000</f>
        <v>6875000</v>
      </c>
      <c r="X37" s="34">
        <f>22</f>
        <v>22</v>
      </c>
    </row>
    <row r="38" spans="1:24" x14ac:dyDescent="0.15">
      <c r="A38" s="25" t="s">
        <v>1057</v>
      </c>
      <c r="B38" s="25" t="s">
        <v>146</v>
      </c>
      <c r="C38" s="25" t="s">
        <v>147</v>
      </c>
      <c r="D38" s="25" t="s">
        <v>148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28665</f>
        <v>28665</v>
      </c>
      <c r="L38" s="32" t="s">
        <v>904</v>
      </c>
      <c r="M38" s="31">
        <f>28675</f>
        <v>28675</v>
      </c>
      <c r="N38" s="32" t="s">
        <v>904</v>
      </c>
      <c r="O38" s="31">
        <f>26200</f>
        <v>26200</v>
      </c>
      <c r="P38" s="32" t="s">
        <v>936</v>
      </c>
      <c r="Q38" s="31">
        <f>26320</f>
        <v>26320</v>
      </c>
      <c r="R38" s="32" t="s">
        <v>934</v>
      </c>
      <c r="S38" s="33">
        <f>27433.18</f>
        <v>27433.18</v>
      </c>
      <c r="T38" s="30">
        <f>361107</f>
        <v>361107</v>
      </c>
      <c r="U38" s="30">
        <f>159171</f>
        <v>159171</v>
      </c>
      <c r="V38" s="30">
        <f>9922316716</f>
        <v>9922316716</v>
      </c>
      <c r="W38" s="30">
        <f>4401301736</f>
        <v>4401301736</v>
      </c>
      <c r="X38" s="34">
        <f>22</f>
        <v>22</v>
      </c>
    </row>
    <row r="39" spans="1:24" x14ac:dyDescent="0.15">
      <c r="A39" s="25" t="s">
        <v>1057</v>
      </c>
      <c r="B39" s="25" t="s">
        <v>149</v>
      </c>
      <c r="C39" s="25" t="s">
        <v>150</v>
      </c>
      <c r="D39" s="25" t="s">
        <v>151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5790</f>
        <v>5790</v>
      </c>
      <c r="L39" s="32" t="s">
        <v>904</v>
      </c>
      <c r="M39" s="31">
        <f>5840</f>
        <v>5840</v>
      </c>
      <c r="N39" s="32" t="s">
        <v>904</v>
      </c>
      <c r="O39" s="31">
        <f>5370</f>
        <v>5370</v>
      </c>
      <c r="P39" s="32" t="s">
        <v>87</v>
      </c>
      <c r="Q39" s="31">
        <f>5530</f>
        <v>5530</v>
      </c>
      <c r="R39" s="32" t="s">
        <v>934</v>
      </c>
      <c r="S39" s="33">
        <f>5637.27</f>
        <v>5637.27</v>
      </c>
      <c r="T39" s="30">
        <f>3366</f>
        <v>3366</v>
      </c>
      <c r="U39" s="30" t="str">
        <f t="shared" ref="U39:U48" si="1">"－"</f>
        <v>－</v>
      </c>
      <c r="V39" s="30">
        <f>18934990</f>
        <v>18934990</v>
      </c>
      <c r="W39" s="30" t="str">
        <f t="shared" ref="W39:W48" si="2">"－"</f>
        <v>－</v>
      </c>
      <c r="X39" s="34">
        <f>22</f>
        <v>22</v>
      </c>
    </row>
    <row r="40" spans="1:24" x14ac:dyDescent="0.15">
      <c r="A40" s="25" t="s">
        <v>1057</v>
      </c>
      <c r="B40" s="25" t="s">
        <v>152</v>
      </c>
      <c r="C40" s="25" t="s">
        <v>153</v>
      </c>
      <c r="D40" s="25" t="s">
        <v>154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10445</f>
        <v>10445</v>
      </c>
      <c r="L40" s="32" t="s">
        <v>904</v>
      </c>
      <c r="M40" s="31">
        <f>10625</f>
        <v>10625</v>
      </c>
      <c r="N40" s="32" t="s">
        <v>915</v>
      </c>
      <c r="O40" s="31">
        <f>9784</f>
        <v>9784</v>
      </c>
      <c r="P40" s="32" t="s">
        <v>935</v>
      </c>
      <c r="Q40" s="31">
        <f>10000</f>
        <v>10000</v>
      </c>
      <c r="R40" s="32" t="s">
        <v>934</v>
      </c>
      <c r="S40" s="33">
        <f>10262.77</f>
        <v>10262.77</v>
      </c>
      <c r="T40" s="30">
        <f>1222</f>
        <v>1222</v>
      </c>
      <c r="U40" s="30" t="str">
        <f t="shared" si="1"/>
        <v>－</v>
      </c>
      <c r="V40" s="30">
        <f>12510886</f>
        <v>12510886</v>
      </c>
      <c r="W40" s="30" t="str">
        <f t="shared" si="2"/>
        <v>－</v>
      </c>
      <c r="X40" s="34">
        <f>22</f>
        <v>22</v>
      </c>
    </row>
    <row r="41" spans="1:24" x14ac:dyDescent="0.15">
      <c r="A41" s="25" t="s">
        <v>1057</v>
      </c>
      <c r="B41" s="25" t="s">
        <v>155</v>
      </c>
      <c r="C41" s="25" t="s">
        <v>156</v>
      </c>
      <c r="D41" s="25" t="s">
        <v>157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19450</f>
        <v>19450</v>
      </c>
      <c r="L41" s="32" t="s">
        <v>904</v>
      </c>
      <c r="M41" s="31">
        <f>19455</f>
        <v>19455</v>
      </c>
      <c r="N41" s="32" t="s">
        <v>810</v>
      </c>
      <c r="O41" s="31">
        <f>18555</f>
        <v>18555</v>
      </c>
      <c r="P41" s="32" t="s">
        <v>87</v>
      </c>
      <c r="Q41" s="31">
        <f>19015</f>
        <v>19015</v>
      </c>
      <c r="R41" s="32" t="s">
        <v>266</v>
      </c>
      <c r="S41" s="33">
        <f>19121.67</f>
        <v>19121.669999999998</v>
      </c>
      <c r="T41" s="30">
        <f>223</f>
        <v>223</v>
      </c>
      <c r="U41" s="30" t="str">
        <f t="shared" si="1"/>
        <v>－</v>
      </c>
      <c r="V41" s="30">
        <f>4240230</f>
        <v>4240230</v>
      </c>
      <c r="W41" s="30" t="str">
        <f t="shared" si="2"/>
        <v>－</v>
      </c>
      <c r="X41" s="34">
        <f>9</f>
        <v>9</v>
      </c>
    </row>
    <row r="42" spans="1:24" x14ac:dyDescent="0.15">
      <c r="A42" s="25" t="s">
        <v>1057</v>
      </c>
      <c r="B42" s="25" t="s">
        <v>158</v>
      </c>
      <c r="C42" s="25" t="s">
        <v>159</v>
      </c>
      <c r="D42" s="25" t="s">
        <v>160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15965</f>
        <v>15965</v>
      </c>
      <c r="L42" s="32" t="s">
        <v>810</v>
      </c>
      <c r="M42" s="31">
        <f>16065</f>
        <v>16065</v>
      </c>
      <c r="N42" s="32" t="s">
        <v>56</v>
      </c>
      <c r="O42" s="31">
        <f>14425</f>
        <v>14425</v>
      </c>
      <c r="P42" s="32" t="s">
        <v>812</v>
      </c>
      <c r="Q42" s="31">
        <f>14425</f>
        <v>14425</v>
      </c>
      <c r="R42" s="32" t="s">
        <v>812</v>
      </c>
      <c r="S42" s="33">
        <f>15537.5</f>
        <v>15537.5</v>
      </c>
      <c r="T42" s="30">
        <f>25</f>
        <v>25</v>
      </c>
      <c r="U42" s="30" t="str">
        <f t="shared" si="1"/>
        <v>－</v>
      </c>
      <c r="V42" s="30">
        <f>386930</f>
        <v>386930</v>
      </c>
      <c r="W42" s="30" t="str">
        <f t="shared" si="2"/>
        <v>－</v>
      </c>
      <c r="X42" s="34">
        <f>8</f>
        <v>8</v>
      </c>
    </row>
    <row r="43" spans="1:24" x14ac:dyDescent="0.15">
      <c r="A43" s="25" t="s">
        <v>1057</v>
      </c>
      <c r="B43" s="25" t="s">
        <v>161</v>
      </c>
      <c r="C43" s="25" t="s">
        <v>162</v>
      </c>
      <c r="D43" s="25" t="s">
        <v>163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11655</f>
        <v>11655</v>
      </c>
      <c r="L43" s="32" t="s">
        <v>904</v>
      </c>
      <c r="M43" s="31">
        <f>11780</f>
        <v>11780</v>
      </c>
      <c r="N43" s="32" t="s">
        <v>80</v>
      </c>
      <c r="O43" s="31">
        <f>10905</f>
        <v>10905</v>
      </c>
      <c r="P43" s="32" t="s">
        <v>87</v>
      </c>
      <c r="Q43" s="31">
        <f>11300</f>
        <v>11300</v>
      </c>
      <c r="R43" s="32" t="s">
        <v>934</v>
      </c>
      <c r="S43" s="33">
        <f>11421.43</f>
        <v>11421.43</v>
      </c>
      <c r="T43" s="30">
        <f>673</f>
        <v>673</v>
      </c>
      <c r="U43" s="30" t="str">
        <f t="shared" si="1"/>
        <v>－</v>
      </c>
      <c r="V43" s="30">
        <f>7634495</f>
        <v>7634495</v>
      </c>
      <c r="W43" s="30" t="str">
        <f t="shared" si="2"/>
        <v>－</v>
      </c>
      <c r="X43" s="34">
        <f>21</f>
        <v>21</v>
      </c>
    </row>
    <row r="44" spans="1:24" x14ac:dyDescent="0.15">
      <c r="A44" s="25" t="s">
        <v>1057</v>
      </c>
      <c r="B44" s="25" t="s">
        <v>164</v>
      </c>
      <c r="C44" s="25" t="s">
        <v>165</v>
      </c>
      <c r="D44" s="25" t="s">
        <v>166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5860</f>
        <v>5860</v>
      </c>
      <c r="L44" s="32" t="s">
        <v>904</v>
      </c>
      <c r="M44" s="31">
        <f>6000</f>
        <v>6000</v>
      </c>
      <c r="N44" s="32" t="s">
        <v>915</v>
      </c>
      <c r="O44" s="31">
        <f>5520</f>
        <v>5520</v>
      </c>
      <c r="P44" s="32" t="s">
        <v>66</v>
      </c>
      <c r="Q44" s="31">
        <f>5660</f>
        <v>5660</v>
      </c>
      <c r="R44" s="32" t="s">
        <v>934</v>
      </c>
      <c r="S44" s="33">
        <f>5793.64</f>
        <v>5793.64</v>
      </c>
      <c r="T44" s="30">
        <f>4437</f>
        <v>4437</v>
      </c>
      <c r="U44" s="30" t="str">
        <f t="shared" si="1"/>
        <v>－</v>
      </c>
      <c r="V44" s="30">
        <f>25890580</f>
        <v>25890580</v>
      </c>
      <c r="W44" s="30" t="str">
        <f t="shared" si="2"/>
        <v>－</v>
      </c>
      <c r="X44" s="34">
        <f>22</f>
        <v>22</v>
      </c>
    </row>
    <row r="45" spans="1:24" x14ac:dyDescent="0.15">
      <c r="A45" s="25" t="s">
        <v>1057</v>
      </c>
      <c r="B45" s="25" t="s">
        <v>167</v>
      </c>
      <c r="C45" s="25" t="s">
        <v>168</v>
      </c>
      <c r="D45" s="25" t="s">
        <v>169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3130</f>
        <v>3130</v>
      </c>
      <c r="L45" s="32" t="s">
        <v>904</v>
      </c>
      <c r="M45" s="31">
        <f>3135</f>
        <v>3135</v>
      </c>
      <c r="N45" s="32" t="s">
        <v>904</v>
      </c>
      <c r="O45" s="31">
        <f>2859</f>
        <v>2859</v>
      </c>
      <c r="P45" s="32" t="s">
        <v>66</v>
      </c>
      <c r="Q45" s="31">
        <f>2955</f>
        <v>2955</v>
      </c>
      <c r="R45" s="32" t="s">
        <v>934</v>
      </c>
      <c r="S45" s="33">
        <f>3028.64</f>
        <v>3028.64</v>
      </c>
      <c r="T45" s="30">
        <f>5943</f>
        <v>5943</v>
      </c>
      <c r="U45" s="30" t="str">
        <f t="shared" si="1"/>
        <v>－</v>
      </c>
      <c r="V45" s="30">
        <f>17473985</f>
        <v>17473985</v>
      </c>
      <c r="W45" s="30" t="str">
        <f t="shared" si="2"/>
        <v>－</v>
      </c>
      <c r="X45" s="34">
        <f>22</f>
        <v>22</v>
      </c>
    </row>
    <row r="46" spans="1:24" x14ac:dyDescent="0.15">
      <c r="A46" s="25" t="s">
        <v>1057</v>
      </c>
      <c r="B46" s="25" t="s">
        <v>170</v>
      </c>
      <c r="C46" s="25" t="s">
        <v>171</v>
      </c>
      <c r="D46" s="25" t="s">
        <v>172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3200</f>
        <v>3200</v>
      </c>
      <c r="L46" s="32" t="s">
        <v>904</v>
      </c>
      <c r="M46" s="31">
        <f>3210</f>
        <v>3210</v>
      </c>
      <c r="N46" s="32" t="s">
        <v>80</v>
      </c>
      <c r="O46" s="31">
        <f>3000</f>
        <v>3000</v>
      </c>
      <c r="P46" s="32" t="s">
        <v>812</v>
      </c>
      <c r="Q46" s="31">
        <f>3090</f>
        <v>3090</v>
      </c>
      <c r="R46" s="32" t="s">
        <v>934</v>
      </c>
      <c r="S46" s="33">
        <f>3131.82</f>
        <v>3131.82</v>
      </c>
      <c r="T46" s="30">
        <f>2957</f>
        <v>2957</v>
      </c>
      <c r="U46" s="30" t="str">
        <f t="shared" si="1"/>
        <v>－</v>
      </c>
      <c r="V46" s="30">
        <f>9047310</f>
        <v>9047310</v>
      </c>
      <c r="W46" s="30" t="str">
        <f t="shared" si="2"/>
        <v>－</v>
      </c>
      <c r="X46" s="34">
        <f>22</f>
        <v>22</v>
      </c>
    </row>
    <row r="47" spans="1:24" x14ac:dyDescent="0.15">
      <c r="A47" s="25" t="s">
        <v>1057</v>
      </c>
      <c r="B47" s="25" t="s">
        <v>173</v>
      </c>
      <c r="C47" s="25" t="s">
        <v>174</v>
      </c>
      <c r="D47" s="25" t="s">
        <v>175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54000</f>
        <v>54000</v>
      </c>
      <c r="L47" s="32" t="s">
        <v>904</v>
      </c>
      <c r="M47" s="31">
        <f>54000</f>
        <v>54000</v>
      </c>
      <c r="N47" s="32" t="s">
        <v>904</v>
      </c>
      <c r="O47" s="31">
        <f>48480</f>
        <v>48480</v>
      </c>
      <c r="P47" s="32" t="s">
        <v>87</v>
      </c>
      <c r="Q47" s="31">
        <f>49560</f>
        <v>49560</v>
      </c>
      <c r="R47" s="32" t="s">
        <v>934</v>
      </c>
      <c r="S47" s="33">
        <f>51400</f>
        <v>51400</v>
      </c>
      <c r="T47" s="30">
        <f>587</f>
        <v>587</v>
      </c>
      <c r="U47" s="30" t="str">
        <f t="shared" si="1"/>
        <v>－</v>
      </c>
      <c r="V47" s="30">
        <f>29991890</f>
        <v>29991890</v>
      </c>
      <c r="W47" s="30" t="str">
        <f t="shared" si="2"/>
        <v>－</v>
      </c>
      <c r="X47" s="34">
        <f>22</f>
        <v>22</v>
      </c>
    </row>
    <row r="48" spans="1:24" x14ac:dyDescent="0.15">
      <c r="A48" s="25" t="s">
        <v>1057</v>
      </c>
      <c r="B48" s="25" t="s">
        <v>176</v>
      </c>
      <c r="C48" s="25" t="s">
        <v>177</v>
      </c>
      <c r="D48" s="25" t="s">
        <v>178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38840</f>
        <v>38840</v>
      </c>
      <c r="L48" s="32" t="s">
        <v>904</v>
      </c>
      <c r="M48" s="31">
        <f>38920</f>
        <v>38920</v>
      </c>
      <c r="N48" s="32" t="s">
        <v>904</v>
      </c>
      <c r="O48" s="31">
        <f>35800</f>
        <v>35800</v>
      </c>
      <c r="P48" s="32" t="s">
        <v>87</v>
      </c>
      <c r="Q48" s="31">
        <f>36150</f>
        <v>36150</v>
      </c>
      <c r="R48" s="32" t="s">
        <v>266</v>
      </c>
      <c r="S48" s="33">
        <f>37007.5</f>
        <v>37007.5</v>
      </c>
      <c r="T48" s="30">
        <f>141</f>
        <v>141</v>
      </c>
      <c r="U48" s="30" t="str">
        <f t="shared" si="1"/>
        <v>－</v>
      </c>
      <c r="V48" s="30">
        <f>5324400</f>
        <v>5324400</v>
      </c>
      <c r="W48" s="30" t="str">
        <f t="shared" si="2"/>
        <v>－</v>
      </c>
      <c r="X48" s="34">
        <f>8</f>
        <v>8</v>
      </c>
    </row>
    <row r="49" spans="1:24" x14ac:dyDescent="0.15">
      <c r="A49" s="25" t="s">
        <v>1057</v>
      </c>
      <c r="B49" s="25" t="s">
        <v>179</v>
      </c>
      <c r="C49" s="25" t="s">
        <v>180</v>
      </c>
      <c r="D49" s="25" t="s">
        <v>181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28275</f>
        <v>28275</v>
      </c>
      <c r="L49" s="32" t="s">
        <v>909</v>
      </c>
      <c r="M49" s="31">
        <f>28395</f>
        <v>28395</v>
      </c>
      <c r="N49" s="32" t="s">
        <v>695</v>
      </c>
      <c r="O49" s="31">
        <f>26245</f>
        <v>26245</v>
      </c>
      <c r="P49" s="32" t="s">
        <v>936</v>
      </c>
      <c r="Q49" s="31">
        <f>26415</f>
        <v>26415</v>
      </c>
      <c r="R49" s="32" t="s">
        <v>934</v>
      </c>
      <c r="S49" s="33">
        <f>27274.69</f>
        <v>27274.69</v>
      </c>
      <c r="T49" s="30">
        <f>35320</f>
        <v>35320</v>
      </c>
      <c r="U49" s="30">
        <f>18601</f>
        <v>18601</v>
      </c>
      <c r="V49" s="30">
        <f>951452352</f>
        <v>951452352</v>
      </c>
      <c r="W49" s="30">
        <f>499754927</f>
        <v>499754927</v>
      </c>
      <c r="X49" s="34">
        <f>16</f>
        <v>16</v>
      </c>
    </row>
    <row r="50" spans="1:24" x14ac:dyDescent="0.15">
      <c r="A50" s="25" t="s">
        <v>1057</v>
      </c>
      <c r="B50" s="25" t="s">
        <v>182</v>
      </c>
      <c r="C50" s="25" t="s">
        <v>183</v>
      </c>
      <c r="D50" s="25" t="s">
        <v>184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2027.5</f>
        <v>2027.5</v>
      </c>
      <c r="L50" s="32" t="s">
        <v>904</v>
      </c>
      <c r="M50" s="31">
        <f>2035.5</f>
        <v>2035.5</v>
      </c>
      <c r="N50" s="32" t="s">
        <v>909</v>
      </c>
      <c r="O50" s="31">
        <f>1863</f>
        <v>1863</v>
      </c>
      <c r="P50" s="32" t="s">
        <v>87</v>
      </c>
      <c r="Q50" s="31">
        <f>1940</f>
        <v>1940</v>
      </c>
      <c r="R50" s="32" t="s">
        <v>934</v>
      </c>
      <c r="S50" s="33">
        <f>1958.43</f>
        <v>1958.43</v>
      </c>
      <c r="T50" s="30">
        <f>1602800</f>
        <v>1602800</v>
      </c>
      <c r="U50" s="30">
        <f>1115440</f>
        <v>1115440</v>
      </c>
      <c r="V50" s="30">
        <f>3184732649</f>
        <v>3184732649</v>
      </c>
      <c r="W50" s="30">
        <f>2220125394</f>
        <v>2220125394</v>
      </c>
      <c r="X50" s="34">
        <f>22</f>
        <v>22</v>
      </c>
    </row>
    <row r="51" spans="1:24" x14ac:dyDescent="0.15">
      <c r="A51" s="25" t="s">
        <v>1057</v>
      </c>
      <c r="B51" s="25" t="s">
        <v>185</v>
      </c>
      <c r="C51" s="25" t="s">
        <v>186</v>
      </c>
      <c r="D51" s="25" t="s">
        <v>187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1654</f>
        <v>1654</v>
      </c>
      <c r="L51" s="32" t="s">
        <v>904</v>
      </c>
      <c r="M51" s="31">
        <f>1687</f>
        <v>1687</v>
      </c>
      <c r="N51" s="32" t="s">
        <v>909</v>
      </c>
      <c r="O51" s="31">
        <f>1587</f>
        <v>1587</v>
      </c>
      <c r="P51" s="32" t="s">
        <v>936</v>
      </c>
      <c r="Q51" s="31">
        <f>1601</f>
        <v>1601</v>
      </c>
      <c r="R51" s="32" t="s">
        <v>934</v>
      </c>
      <c r="S51" s="33">
        <f>1620</f>
        <v>1620</v>
      </c>
      <c r="T51" s="30">
        <f>5170</f>
        <v>5170</v>
      </c>
      <c r="U51" s="30" t="str">
        <f>"－"</f>
        <v>－</v>
      </c>
      <c r="V51" s="30">
        <f>8311640</f>
        <v>8311640</v>
      </c>
      <c r="W51" s="30" t="str">
        <f>"－"</f>
        <v>－</v>
      </c>
      <c r="X51" s="34">
        <f>20</f>
        <v>20</v>
      </c>
    </row>
    <row r="52" spans="1:24" x14ac:dyDescent="0.15">
      <c r="A52" s="25" t="s">
        <v>1057</v>
      </c>
      <c r="B52" s="25" t="s">
        <v>188</v>
      </c>
      <c r="C52" s="25" t="s">
        <v>189</v>
      </c>
      <c r="D52" s="25" t="s">
        <v>190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3980</f>
        <v>3980</v>
      </c>
      <c r="L52" s="32" t="s">
        <v>904</v>
      </c>
      <c r="M52" s="31">
        <f>4345</f>
        <v>4345</v>
      </c>
      <c r="N52" s="32" t="s">
        <v>936</v>
      </c>
      <c r="O52" s="31">
        <f>3980</f>
        <v>3980</v>
      </c>
      <c r="P52" s="32" t="s">
        <v>904</v>
      </c>
      <c r="Q52" s="31">
        <f>4320</f>
        <v>4320</v>
      </c>
      <c r="R52" s="32" t="s">
        <v>934</v>
      </c>
      <c r="S52" s="33">
        <f>4156.82</f>
        <v>4156.82</v>
      </c>
      <c r="T52" s="30">
        <f>674579</f>
        <v>674579</v>
      </c>
      <c r="U52" s="30">
        <f>335200</f>
        <v>335200</v>
      </c>
      <c r="V52" s="30">
        <f>2845458986</f>
        <v>2845458986</v>
      </c>
      <c r="W52" s="30">
        <f>1427620456</f>
        <v>1427620456</v>
      </c>
      <c r="X52" s="34">
        <f>22</f>
        <v>22</v>
      </c>
    </row>
    <row r="53" spans="1:24" x14ac:dyDescent="0.15">
      <c r="A53" s="25" t="s">
        <v>1057</v>
      </c>
      <c r="B53" s="25" t="s">
        <v>191</v>
      </c>
      <c r="C53" s="25" t="s">
        <v>192</v>
      </c>
      <c r="D53" s="25" t="s">
        <v>193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4695</f>
        <v>4695</v>
      </c>
      <c r="L53" s="32" t="s">
        <v>904</v>
      </c>
      <c r="M53" s="31">
        <f>4985</f>
        <v>4985</v>
      </c>
      <c r="N53" s="32" t="s">
        <v>936</v>
      </c>
      <c r="O53" s="31">
        <f>4695</f>
        <v>4695</v>
      </c>
      <c r="P53" s="32" t="s">
        <v>904</v>
      </c>
      <c r="Q53" s="31">
        <f>4960</f>
        <v>4960</v>
      </c>
      <c r="R53" s="32" t="s">
        <v>934</v>
      </c>
      <c r="S53" s="33">
        <f>4858.18</f>
        <v>4858.18</v>
      </c>
      <c r="T53" s="30">
        <f>1481667</f>
        <v>1481667</v>
      </c>
      <c r="U53" s="30">
        <f>1334100</f>
        <v>1334100</v>
      </c>
      <c r="V53" s="30">
        <f>7203854975</f>
        <v>7203854975</v>
      </c>
      <c r="W53" s="30">
        <f>6486648160</f>
        <v>6486648160</v>
      </c>
      <c r="X53" s="34">
        <f>22</f>
        <v>22</v>
      </c>
    </row>
    <row r="54" spans="1:24" x14ac:dyDescent="0.15">
      <c r="A54" s="25" t="s">
        <v>1057</v>
      </c>
      <c r="B54" s="25" t="s">
        <v>194</v>
      </c>
      <c r="C54" s="25" t="s">
        <v>195</v>
      </c>
      <c r="D54" s="25" t="s">
        <v>196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17840</f>
        <v>17840</v>
      </c>
      <c r="L54" s="32" t="s">
        <v>904</v>
      </c>
      <c r="M54" s="31">
        <f>17840</f>
        <v>17840</v>
      </c>
      <c r="N54" s="32" t="s">
        <v>904</v>
      </c>
      <c r="O54" s="31">
        <f>14825</f>
        <v>14825</v>
      </c>
      <c r="P54" s="32" t="s">
        <v>936</v>
      </c>
      <c r="Q54" s="31">
        <f>14980</f>
        <v>14980</v>
      </c>
      <c r="R54" s="32" t="s">
        <v>934</v>
      </c>
      <c r="S54" s="33">
        <f>16299.09</f>
        <v>16299.09</v>
      </c>
      <c r="T54" s="30">
        <f>18245522</f>
        <v>18245522</v>
      </c>
      <c r="U54" s="30">
        <f>62</f>
        <v>62</v>
      </c>
      <c r="V54" s="30">
        <f>294814464910</f>
        <v>294814464910</v>
      </c>
      <c r="W54" s="30">
        <f>948100</f>
        <v>948100</v>
      </c>
      <c r="X54" s="34">
        <f>22</f>
        <v>22</v>
      </c>
    </row>
    <row r="55" spans="1:24" x14ac:dyDescent="0.15">
      <c r="A55" s="25" t="s">
        <v>1057</v>
      </c>
      <c r="B55" s="25" t="s">
        <v>197</v>
      </c>
      <c r="C55" s="25" t="s">
        <v>198</v>
      </c>
      <c r="D55" s="25" t="s">
        <v>199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1332</f>
        <v>1332</v>
      </c>
      <c r="L55" s="32" t="s">
        <v>904</v>
      </c>
      <c r="M55" s="31">
        <f>1589</f>
        <v>1589</v>
      </c>
      <c r="N55" s="32" t="s">
        <v>936</v>
      </c>
      <c r="O55" s="31">
        <f>1332</f>
        <v>1332</v>
      </c>
      <c r="P55" s="32" t="s">
        <v>904</v>
      </c>
      <c r="Q55" s="31">
        <f>1571</f>
        <v>1571</v>
      </c>
      <c r="R55" s="32" t="s">
        <v>934</v>
      </c>
      <c r="S55" s="33">
        <f>1455.91</f>
        <v>1455.91</v>
      </c>
      <c r="T55" s="30">
        <f>277590953</f>
        <v>277590953</v>
      </c>
      <c r="U55" s="30">
        <f>300323</f>
        <v>300323</v>
      </c>
      <c r="V55" s="30">
        <f>405279687599</f>
        <v>405279687599</v>
      </c>
      <c r="W55" s="30">
        <f>460916034</f>
        <v>460916034</v>
      </c>
      <c r="X55" s="34">
        <f>22</f>
        <v>22</v>
      </c>
    </row>
    <row r="56" spans="1:24" x14ac:dyDescent="0.15">
      <c r="A56" s="25" t="s">
        <v>1057</v>
      </c>
      <c r="B56" s="25" t="s">
        <v>200</v>
      </c>
      <c r="C56" s="25" t="s">
        <v>201</v>
      </c>
      <c r="D56" s="25" t="s">
        <v>202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15815</f>
        <v>15815</v>
      </c>
      <c r="L56" s="32" t="s">
        <v>904</v>
      </c>
      <c r="M56" s="31">
        <f>15815</f>
        <v>15815</v>
      </c>
      <c r="N56" s="32" t="s">
        <v>904</v>
      </c>
      <c r="O56" s="31">
        <f>13640</f>
        <v>13640</v>
      </c>
      <c r="P56" s="32" t="s">
        <v>66</v>
      </c>
      <c r="Q56" s="31">
        <f>14185</f>
        <v>14185</v>
      </c>
      <c r="R56" s="32" t="s">
        <v>934</v>
      </c>
      <c r="S56" s="33">
        <f>14847.5</f>
        <v>14847.5</v>
      </c>
      <c r="T56" s="30">
        <f>5561</f>
        <v>5561</v>
      </c>
      <c r="U56" s="30" t="str">
        <f>"－"</f>
        <v>－</v>
      </c>
      <c r="V56" s="30">
        <f>80844500</f>
        <v>80844500</v>
      </c>
      <c r="W56" s="30" t="str">
        <f>"－"</f>
        <v>－</v>
      </c>
      <c r="X56" s="34">
        <f>22</f>
        <v>22</v>
      </c>
    </row>
    <row r="57" spans="1:24" x14ac:dyDescent="0.15">
      <c r="A57" s="25" t="s">
        <v>1057</v>
      </c>
      <c r="B57" s="25" t="s">
        <v>203</v>
      </c>
      <c r="C57" s="25" t="s">
        <v>204</v>
      </c>
      <c r="D57" s="25" t="s">
        <v>205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4685</f>
        <v>4685</v>
      </c>
      <c r="L57" s="32" t="s">
        <v>909</v>
      </c>
      <c r="M57" s="31">
        <f>4780</f>
        <v>4780</v>
      </c>
      <c r="N57" s="32" t="s">
        <v>66</v>
      </c>
      <c r="O57" s="31">
        <f>4590</f>
        <v>4590</v>
      </c>
      <c r="P57" s="32" t="s">
        <v>813</v>
      </c>
      <c r="Q57" s="31">
        <f>4780</f>
        <v>4780</v>
      </c>
      <c r="R57" s="32" t="s">
        <v>936</v>
      </c>
      <c r="S57" s="33">
        <f>4679.17</f>
        <v>4679.17</v>
      </c>
      <c r="T57" s="30">
        <f>287</f>
        <v>287</v>
      </c>
      <c r="U57" s="30" t="str">
        <f>"－"</f>
        <v>－</v>
      </c>
      <c r="V57" s="30">
        <f>1338135</f>
        <v>1338135</v>
      </c>
      <c r="W57" s="30" t="str">
        <f>"－"</f>
        <v>－</v>
      </c>
      <c r="X57" s="34">
        <f>18</f>
        <v>18</v>
      </c>
    </row>
    <row r="58" spans="1:24" x14ac:dyDescent="0.15">
      <c r="A58" s="25" t="s">
        <v>1057</v>
      </c>
      <c r="B58" s="25" t="s">
        <v>206</v>
      </c>
      <c r="C58" s="25" t="s">
        <v>207</v>
      </c>
      <c r="D58" s="25" t="s">
        <v>208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1615</f>
        <v>1615</v>
      </c>
      <c r="L58" s="32" t="s">
        <v>904</v>
      </c>
      <c r="M58" s="31">
        <f>1802</f>
        <v>1802</v>
      </c>
      <c r="N58" s="32" t="s">
        <v>936</v>
      </c>
      <c r="O58" s="31">
        <f>1609</f>
        <v>1609</v>
      </c>
      <c r="P58" s="32" t="s">
        <v>904</v>
      </c>
      <c r="Q58" s="31">
        <f>1778</f>
        <v>1778</v>
      </c>
      <c r="R58" s="32" t="s">
        <v>934</v>
      </c>
      <c r="S58" s="33">
        <f>1710.55</f>
        <v>1710.55</v>
      </c>
      <c r="T58" s="30">
        <f>35708</f>
        <v>35708</v>
      </c>
      <c r="U58" s="30">
        <f>4</f>
        <v>4</v>
      </c>
      <c r="V58" s="30">
        <f>61483972</f>
        <v>61483972</v>
      </c>
      <c r="W58" s="30">
        <f>6622</f>
        <v>6622</v>
      </c>
      <c r="X58" s="34">
        <f>22</f>
        <v>22</v>
      </c>
    </row>
    <row r="59" spans="1:24" x14ac:dyDescent="0.15">
      <c r="A59" s="25" t="s">
        <v>1057</v>
      </c>
      <c r="B59" s="25" t="s">
        <v>209</v>
      </c>
      <c r="C59" s="25" t="s">
        <v>210</v>
      </c>
      <c r="D59" s="25" t="s">
        <v>211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13500</f>
        <v>13500</v>
      </c>
      <c r="L59" s="32" t="s">
        <v>904</v>
      </c>
      <c r="M59" s="31">
        <f>14150</f>
        <v>14150</v>
      </c>
      <c r="N59" s="32" t="s">
        <v>695</v>
      </c>
      <c r="O59" s="31">
        <f>12460</f>
        <v>12460</v>
      </c>
      <c r="P59" s="32" t="s">
        <v>80</v>
      </c>
      <c r="Q59" s="31">
        <f>13470</f>
        <v>13470</v>
      </c>
      <c r="R59" s="32" t="s">
        <v>934</v>
      </c>
      <c r="S59" s="33">
        <f>13385.95</f>
        <v>13385.95</v>
      </c>
      <c r="T59" s="30">
        <f>4450</f>
        <v>4450</v>
      </c>
      <c r="U59" s="30">
        <f>20</f>
        <v>20</v>
      </c>
      <c r="V59" s="30">
        <f>60203650</f>
        <v>60203650</v>
      </c>
      <c r="W59" s="30">
        <f>270700</f>
        <v>270700</v>
      </c>
      <c r="X59" s="34">
        <f>21</f>
        <v>21</v>
      </c>
    </row>
    <row r="60" spans="1:24" x14ac:dyDescent="0.15">
      <c r="A60" s="25" t="s">
        <v>1057</v>
      </c>
      <c r="B60" s="25" t="s">
        <v>212</v>
      </c>
      <c r="C60" s="25" t="s">
        <v>213</v>
      </c>
      <c r="D60" s="25" t="s">
        <v>214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4000</f>
        <v>4000</v>
      </c>
      <c r="L60" s="32" t="s">
        <v>909</v>
      </c>
      <c r="M60" s="31">
        <f>4636</f>
        <v>4636</v>
      </c>
      <c r="N60" s="32" t="s">
        <v>70</v>
      </c>
      <c r="O60" s="31">
        <f>3971</f>
        <v>3971</v>
      </c>
      <c r="P60" s="32" t="s">
        <v>906</v>
      </c>
      <c r="Q60" s="31">
        <f>4258</f>
        <v>4258</v>
      </c>
      <c r="R60" s="32" t="s">
        <v>908</v>
      </c>
      <c r="S60" s="33">
        <f>4120.73</f>
        <v>4120.7299999999996</v>
      </c>
      <c r="T60" s="30">
        <f>1710</f>
        <v>1710</v>
      </c>
      <c r="U60" s="30" t="str">
        <f>"－"</f>
        <v>－</v>
      </c>
      <c r="V60" s="30">
        <f>7018110</f>
        <v>7018110</v>
      </c>
      <c r="W60" s="30" t="str">
        <f>"－"</f>
        <v>－</v>
      </c>
      <c r="X60" s="34">
        <f>11</f>
        <v>11</v>
      </c>
    </row>
    <row r="61" spans="1:24" x14ac:dyDescent="0.15">
      <c r="A61" s="25" t="s">
        <v>1057</v>
      </c>
      <c r="B61" s="25" t="s">
        <v>215</v>
      </c>
      <c r="C61" s="25" t="s">
        <v>216</v>
      </c>
      <c r="D61" s="25" t="s">
        <v>217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1603.5</f>
        <v>1603.5</v>
      </c>
      <c r="L61" s="32" t="s">
        <v>904</v>
      </c>
      <c r="M61" s="31">
        <f>1917.5</f>
        <v>1917.5</v>
      </c>
      <c r="N61" s="32" t="s">
        <v>936</v>
      </c>
      <c r="O61" s="31">
        <f>1600.5</f>
        <v>1600.5</v>
      </c>
      <c r="P61" s="32" t="s">
        <v>904</v>
      </c>
      <c r="Q61" s="31">
        <f>1740</f>
        <v>1740</v>
      </c>
      <c r="R61" s="32" t="s">
        <v>934</v>
      </c>
      <c r="S61" s="33">
        <f>1675.77</f>
        <v>1675.77</v>
      </c>
      <c r="T61" s="30">
        <f>95320</f>
        <v>95320</v>
      </c>
      <c r="U61" s="30" t="str">
        <f>"－"</f>
        <v>－</v>
      </c>
      <c r="V61" s="30">
        <f>163652105</f>
        <v>163652105</v>
      </c>
      <c r="W61" s="30" t="str">
        <f>"－"</f>
        <v>－</v>
      </c>
      <c r="X61" s="34">
        <f>22</f>
        <v>22</v>
      </c>
    </row>
    <row r="62" spans="1:24" x14ac:dyDescent="0.15">
      <c r="A62" s="25" t="s">
        <v>1057</v>
      </c>
      <c r="B62" s="25" t="s">
        <v>221</v>
      </c>
      <c r="C62" s="25" t="s">
        <v>222</v>
      </c>
      <c r="D62" s="25" t="s">
        <v>223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647</f>
        <v>647</v>
      </c>
      <c r="L62" s="32" t="s">
        <v>904</v>
      </c>
      <c r="M62" s="31">
        <f>718</f>
        <v>718</v>
      </c>
      <c r="N62" s="32" t="s">
        <v>935</v>
      </c>
      <c r="O62" s="31">
        <f>642</f>
        <v>642</v>
      </c>
      <c r="P62" s="32" t="s">
        <v>904</v>
      </c>
      <c r="Q62" s="31">
        <f>711</f>
        <v>711</v>
      </c>
      <c r="R62" s="32" t="s">
        <v>934</v>
      </c>
      <c r="S62" s="33">
        <f>684</f>
        <v>684</v>
      </c>
      <c r="T62" s="30">
        <f>79108</f>
        <v>79108</v>
      </c>
      <c r="U62" s="30">
        <f>44012</f>
        <v>44012</v>
      </c>
      <c r="V62" s="30">
        <f>55819358</f>
        <v>55819358</v>
      </c>
      <c r="W62" s="30">
        <f>31525638</f>
        <v>31525638</v>
      </c>
      <c r="X62" s="34">
        <f>22</f>
        <v>22</v>
      </c>
    </row>
    <row r="63" spans="1:24" x14ac:dyDescent="0.15">
      <c r="A63" s="25" t="s">
        <v>1057</v>
      </c>
      <c r="B63" s="25" t="s">
        <v>224</v>
      </c>
      <c r="C63" s="25" t="s">
        <v>225</v>
      </c>
      <c r="D63" s="25" t="s">
        <v>226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2047</f>
        <v>2047</v>
      </c>
      <c r="L63" s="32" t="s">
        <v>904</v>
      </c>
      <c r="M63" s="31">
        <f>2047.5</f>
        <v>2047.5</v>
      </c>
      <c r="N63" s="32" t="s">
        <v>904</v>
      </c>
      <c r="O63" s="31">
        <f>1928.5</f>
        <v>1928.5</v>
      </c>
      <c r="P63" s="32" t="s">
        <v>936</v>
      </c>
      <c r="Q63" s="31">
        <f>1941.5</f>
        <v>1941.5</v>
      </c>
      <c r="R63" s="32" t="s">
        <v>934</v>
      </c>
      <c r="S63" s="33">
        <f>1979.95</f>
        <v>1979.95</v>
      </c>
      <c r="T63" s="30">
        <f>1480270</f>
        <v>1480270</v>
      </c>
      <c r="U63" s="30">
        <f>1135000</f>
        <v>1135000</v>
      </c>
      <c r="V63" s="30">
        <f>2971783875</f>
        <v>2971783875</v>
      </c>
      <c r="W63" s="30">
        <f>2290683200</f>
        <v>2290683200</v>
      </c>
      <c r="X63" s="34">
        <f>22</f>
        <v>22</v>
      </c>
    </row>
    <row r="64" spans="1:24" x14ac:dyDescent="0.15">
      <c r="A64" s="25" t="s">
        <v>1057</v>
      </c>
      <c r="B64" s="25" t="s">
        <v>227</v>
      </c>
      <c r="C64" s="25" t="s">
        <v>228</v>
      </c>
      <c r="D64" s="25" t="s">
        <v>229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18285</f>
        <v>18285</v>
      </c>
      <c r="L64" s="32" t="s">
        <v>904</v>
      </c>
      <c r="M64" s="31">
        <f>18285</f>
        <v>18285</v>
      </c>
      <c r="N64" s="32" t="s">
        <v>904</v>
      </c>
      <c r="O64" s="31">
        <f>17390</f>
        <v>17390</v>
      </c>
      <c r="P64" s="32" t="s">
        <v>936</v>
      </c>
      <c r="Q64" s="31">
        <f>17425</f>
        <v>17425</v>
      </c>
      <c r="R64" s="32" t="s">
        <v>934</v>
      </c>
      <c r="S64" s="33">
        <f>17789.09</f>
        <v>17789.09</v>
      </c>
      <c r="T64" s="30">
        <f>31867</f>
        <v>31867</v>
      </c>
      <c r="U64" s="30">
        <f>27500</f>
        <v>27500</v>
      </c>
      <c r="V64" s="30">
        <f>573424705</f>
        <v>573424705</v>
      </c>
      <c r="W64" s="30">
        <f>495165000</f>
        <v>495165000</v>
      </c>
      <c r="X64" s="34">
        <f>22</f>
        <v>22</v>
      </c>
    </row>
    <row r="65" spans="1:24" x14ac:dyDescent="0.15">
      <c r="A65" s="25" t="s">
        <v>1057</v>
      </c>
      <c r="B65" s="25" t="s">
        <v>230</v>
      </c>
      <c r="C65" s="25" t="s">
        <v>231</v>
      </c>
      <c r="D65" s="25" t="s">
        <v>232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2060</f>
        <v>2060</v>
      </c>
      <c r="L65" s="32" t="s">
        <v>904</v>
      </c>
      <c r="M65" s="31">
        <f>2061</f>
        <v>2061</v>
      </c>
      <c r="N65" s="32" t="s">
        <v>904</v>
      </c>
      <c r="O65" s="31">
        <f>1937</f>
        <v>1937</v>
      </c>
      <c r="P65" s="32" t="s">
        <v>936</v>
      </c>
      <c r="Q65" s="31">
        <f>1950</f>
        <v>1950</v>
      </c>
      <c r="R65" s="32" t="s">
        <v>934</v>
      </c>
      <c r="S65" s="33">
        <f>1991.27</f>
        <v>1991.27</v>
      </c>
      <c r="T65" s="30">
        <f>6113251</f>
        <v>6113251</v>
      </c>
      <c r="U65" s="30">
        <f>1010283</f>
        <v>1010283</v>
      </c>
      <c r="V65" s="30">
        <f>12228759529</f>
        <v>12228759529</v>
      </c>
      <c r="W65" s="30">
        <f>1999131178</f>
        <v>1999131178</v>
      </c>
      <c r="X65" s="34">
        <f>22</f>
        <v>22</v>
      </c>
    </row>
    <row r="66" spans="1:24" x14ac:dyDescent="0.15">
      <c r="A66" s="25" t="s">
        <v>1057</v>
      </c>
      <c r="B66" s="25" t="s">
        <v>233</v>
      </c>
      <c r="C66" s="25" t="s">
        <v>234</v>
      </c>
      <c r="D66" s="25" t="s">
        <v>235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2032</f>
        <v>2032</v>
      </c>
      <c r="L66" s="32" t="s">
        <v>904</v>
      </c>
      <c r="M66" s="31">
        <f>2032</f>
        <v>2032</v>
      </c>
      <c r="N66" s="32" t="s">
        <v>904</v>
      </c>
      <c r="O66" s="31">
        <f>1873</f>
        <v>1873</v>
      </c>
      <c r="P66" s="32" t="s">
        <v>87</v>
      </c>
      <c r="Q66" s="31">
        <f>1955</f>
        <v>1955</v>
      </c>
      <c r="R66" s="32" t="s">
        <v>934</v>
      </c>
      <c r="S66" s="33">
        <f>1975.09</f>
        <v>1975.09</v>
      </c>
      <c r="T66" s="30">
        <f>12368933</f>
        <v>12368933</v>
      </c>
      <c r="U66" s="30">
        <f>8898517</f>
        <v>8898517</v>
      </c>
      <c r="V66" s="30">
        <f>24049598068</f>
        <v>24049598068</v>
      </c>
      <c r="W66" s="30">
        <f>17283511855</f>
        <v>17283511855</v>
      </c>
      <c r="X66" s="34">
        <f>22</f>
        <v>22</v>
      </c>
    </row>
    <row r="67" spans="1:24" x14ac:dyDescent="0.15">
      <c r="A67" s="25" t="s">
        <v>1057</v>
      </c>
      <c r="B67" s="25" t="s">
        <v>236</v>
      </c>
      <c r="C67" s="25" t="s">
        <v>237</v>
      </c>
      <c r="D67" s="25" t="s">
        <v>238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1945</f>
        <v>1945</v>
      </c>
      <c r="L67" s="32" t="s">
        <v>904</v>
      </c>
      <c r="M67" s="31">
        <f>1970</f>
        <v>1970</v>
      </c>
      <c r="N67" s="32" t="s">
        <v>906</v>
      </c>
      <c r="O67" s="31">
        <f>1861</f>
        <v>1861</v>
      </c>
      <c r="P67" s="32" t="s">
        <v>912</v>
      </c>
      <c r="Q67" s="31">
        <f>1881</f>
        <v>1881</v>
      </c>
      <c r="R67" s="32" t="s">
        <v>934</v>
      </c>
      <c r="S67" s="33">
        <f>1900.73</f>
        <v>1900.73</v>
      </c>
      <c r="T67" s="30">
        <f>33896</f>
        <v>33896</v>
      </c>
      <c r="U67" s="30">
        <f>24033</f>
        <v>24033</v>
      </c>
      <c r="V67" s="30">
        <f>64184499</f>
        <v>64184499</v>
      </c>
      <c r="W67" s="30">
        <f>45469269</f>
        <v>45469269</v>
      </c>
      <c r="X67" s="34">
        <f>22</f>
        <v>22</v>
      </c>
    </row>
    <row r="68" spans="1:24" x14ac:dyDescent="0.15">
      <c r="A68" s="25" t="s">
        <v>1057</v>
      </c>
      <c r="B68" s="25" t="s">
        <v>239</v>
      </c>
      <c r="C68" s="25" t="s">
        <v>240</v>
      </c>
      <c r="D68" s="25" t="s">
        <v>241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2486</f>
        <v>2486</v>
      </c>
      <c r="L68" s="32" t="s">
        <v>904</v>
      </c>
      <c r="M68" s="31">
        <f>2487</f>
        <v>2487</v>
      </c>
      <c r="N68" s="32" t="s">
        <v>904</v>
      </c>
      <c r="O68" s="31">
        <f>2350</f>
        <v>2350</v>
      </c>
      <c r="P68" s="32" t="s">
        <v>936</v>
      </c>
      <c r="Q68" s="31">
        <f>2362</f>
        <v>2362</v>
      </c>
      <c r="R68" s="32" t="s">
        <v>934</v>
      </c>
      <c r="S68" s="33">
        <f>2413.82</f>
        <v>2413.8200000000002</v>
      </c>
      <c r="T68" s="30">
        <f>535110</f>
        <v>535110</v>
      </c>
      <c r="U68" s="30">
        <f>67000</f>
        <v>67000</v>
      </c>
      <c r="V68" s="30">
        <f>1284256034</f>
        <v>1284256034</v>
      </c>
      <c r="W68" s="30">
        <f>162929300</f>
        <v>162929300</v>
      </c>
      <c r="X68" s="34">
        <f>22</f>
        <v>22</v>
      </c>
    </row>
    <row r="69" spans="1:24" x14ac:dyDescent="0.15">
      <c r="A69" s="25" t="s">
        <v>1057</v>
      </c>
      <c r="B69" s="25" t="s">
        <v>242</v>
      </c>
      <c r="C69" s="25" t="s">
        <v>243</v>
      </c>
      <c r="D69" s="25" t="s">
        <v>244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24750</f>
        <v>24750</v>
      </c>
      <c r="L69" s="32" t="s">
        <v>909</v>
      </c>
      <c r="M69" s="31">
        <f>24750</f>
        <v>24750</v>
      </c>
      <c r="N69" s="32" t="s">
        <v>909</v>
      </c>
      <c r="O69" s="31">
        <f>23520</f>
        <v>23520</v>
      </c>
      <c r="P69" s="32" t="s">
        <v>934</v>
      </c>
      <c r="Q69" s="31">
        <f>23520</f>
        <v>23520</v>
      </c>
      <c r="R69" s="32" t="s">
        <v>934</v>
      </c>
      <c r="S69" s="33">
        <f>24134.38</f>
        <v>24134.38</v>
      </c>
      <c r="T69" s="30">
        <f>35</f>
        <v>35</v>
      </c>
      <c r="U69" s="30" t="str">
        <f>"－"</f>
        <v>－</v>
      </c>
      <c r="V69" s="30">
        <f>833660</f>
        <v>833660</v>
      </c>
      <c r="W69" s="30" t="str">
        <f>"－"</f>
        <v>－</v>
      </c>
      <c r="X69" s="34">
        <f>8</f>
        <v>8</v>
      </c>
    </row>
    <row r="70" spans="1:24" x14ac:dyDescent="0.15">
      <c r="A70" s="25" t="s">
        <v>1057</v>
      </c>
      <c r="B70" s="25" t="s">
        <v>245</v>
      </c>
      <c r="C70" s="25" t="s">
        <v>246</v>
      </c>
      <c r="D70" s="25" t="s">
        <v>247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20775</f>
        <v>20775</v>
      </c>
      <c r="L70" s="32" t="s">
        <v>909</v>
      </c>
      <c r="M70" s="31">
        <f>20775</f>
        <v>20775</v>
      </c>
      <c r="N70" s="32" t="s">
        <v>909</v>
      </c>
      <c r="O70" s="31">
        <f>18915</f>
        <v>18915</v>
      </c>
      <c r="P70" s="32" t="s">
        <v>66</v>
      </c>
      <c r="Q70" s="31">
        <f>18980</f>
        <v>18980</v>
      </c>
      <c r="R70" s="32" t="s">
        <v>266</v>
      </c>
      <c r="S70" s="33">
        <f>19440.83</f>
        <v>19440.830000000002</v>
      </c>
      <c r="T70" s="30">
        <f>13</f>
        <v>13</v>
      </c>
      <c r="U70" s="30" t="str">
        <f>"－"</f>
        <v>－</v>
      </c>
      <c r="V70" s="30">
        <f>252435</f>
        <v>252435</v>
      </c>
      <c r="W70" s="30" t="str">
        <f>"－"</f>
        <v>－</v>
      </c>
      <c r="X70" s="34">
        <f>6</f>
        <v>6</v>
      </c>
    </row>
    <row r="71" spans="1:24" x14ac:dyDescent="0.15">
      <c r="A71" s="25" t="s">
        <v>1057</v>
      </c>
      <c r="B71" s="25" t="s">
        <v>248</v>
      </c>
      <c r="C71" s="25" t="s">
        <v>249</v>
      </c>
      <c r="D71" s="25" t="s">
        <v>250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2102</f>
        <v>2102</v>
      </c>
      <c r="L71" s="32" t="s">
        <v>904</v>
      </c>
      <c r="M71" s="31">
        <f>2102</f>
        <v>2102</v>
      </c>
      <c r="N71" s="32" t="s">
        <v>904</v>
      </c>
      <c r="O71" s="31">
        <f>2000</f>
        <v>2000</v>
      </c>
      <c r="P71" s="32" t="s">
        <v>87</v>
      </c>
      <c r="Q71" s="31">
        <f>2011</f>
        <v>2011</v>
      </c>
      <c r="R71" s="32" t="s">
        <v>934</v>
      </c>
      <c r="S71" s="33">
        <f>2038.86</f>
        <v>2038.86</v>
      </c>
      <c r="T71" s="30">
        <f>666</f>
        <v>666</v>
      </c>
      <c r="U71" s="30" t="str">
        <f>"－"</f>
        <v>－</v>
      </c>
      <c r="V71" s="30">
        <f>1361738</f>
        <v>1361738</v>
      </c>
      <c r="W71" s="30" t="str">
        <f>"－"</f>
        <v>－</v>
      </c>
      <c r="X71" s="34">
        <f>22</f>
        <v>22</v>
      </c>
    </row>
    <row r="72" spans="1:24" x14ac:dyDescent="0.15">
      <c r="A72" s="25" t="s">
        <v>1057</v>
      </c>
      <c r="B72" s="25" t="s">
        <v>251</v>
      </c>
      <c r="C72" s="25" t="s">
        <v>252</v>
      </c>
      <c r="D72" s="25" t="s">
        <v>253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1936</f>
        <v>1936</v>
      </c>
      <c r="L72" s="32" t="s">
        <v>904</v>
      </c>
      <c r="M72" s="31">
        <f>1958</f>
        <v>1958</v>
      </c>
      <c r="N72" s="32" t="s">
        <v>912</v>
      </c>
      <c r="O72" s="31">
        <f>1893</f>
        <v>1893</v>
      </c>
      <c r="P72" s="32" t="s">
        <v>936</v>
      </c>
      <c r="Q72" s="31">
        <f>1901</f>
        <v>1901</v>
      </c>
      <c r="R72" s="32" t="s">
        <v>934</v>
      </c>
      <c r="S72" s="33">
        <f>1932.5</f>
        <v>1932.5</v>
      </c>
      <c r="T72" s="30">
        <f>9254432</f>
        <v>9254432</v>
      </c>
      <c r="U72" s="30">
        <f>7027184</f>
        <v>7027184</v>
      </c>
      <c r="V72" s="30">
        <f>17875598956</f>
        <v>17875598956</v>
      </c>
      <c r="W72" s="30">
        <f>13561693763</f>
        <v>13561693763</v>
      </c>
      <c r="X72" s="34">
        <f>22</f>
        <v>22</v>
      </c>
    </row>
    <row r="73" spans="1:24" x14ac:dyDescent="0.15">
      <c r="A73" s="25" t="s">
        <v>1057</v>
      </c>
      <c r="B73" s="25" t="s">
        <v>254</v>
      </c>
      <c r="C73" s="25" t="s">
        <v>255</v>
      </c>
      <c r="D73" s="25" t="s">
        <v>256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2085</f>
        <v>2085</v>
      </c>
      <c r="L73" s="32" t="s">
        <v>904</v>
      </c>
      <c r="M73" s="31">
        <f>2120</f>
        <v>2120</v>
      </c>
      <c r="N73" s="32" t="s">
        <v>813</v>
      </c>
      <c r="O73" s="31">
        <f>2046</f>
        <v>2046</v>
      </c>
      <c r="P73" s="32" t="s">
        <v>812</v>
      </c>
      <c r="Q73" s="31">
        <f>2094</f>
        <v>2094</v>
      </c>
      <c r="R73" s="32" t="s">
        <v>934</v>
      </c>
      <c r="S73" s="33">
        <f>2096.38</f>
        <v>2096.38</v>
      </c>
      <c r="T73" s="30">
        <f>2881</f>
        <v>2881</v>
      </c>
      <c r="U73" s="30" t="str">
        <f>"－"</f>
        <v>－</v>
      </c>
      <c r="V73" s="30">
        <f>6024109</f>
        <v>6024109</v>
      </c>
      <c r="W73" s="30" t="str">
        <f>"－"</f>
        <v>－</v>
      </c>
      <c r="X73" s="34">
        <f>21</f>
        <v>21</v>
      </c>
    </row>
    <row r="74" spans="1:24" x14ac:dyDescent="0.15">
      <c r="A74" s="25" t="s">
        <v>1057</v>
      </c>
      <c r="B74" s="25" t="s">
        <v>257</v>
      </c>
      <c r="C74" s="25" t="s">
        <v>258</v>
      </c>
      <c r="D74" s="25" t="s">
        <v>259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2057.5</f>
        <v>2057.5</v>
      </c>
      <c r="L74" s="32" t="s">
        <v>904</v>
      </c>
      <c r="M74" s="31">
        <f>2057.5</f>
        <v>2057.5</v>
      </c>
      <c r="N74" s="32" t="s">
        <v>904</v>
      </c>
      <c r="O74" s="31">
        <f>1974</f>
        <v>1974</v>
      </c>
      <c r="P74" s="32" t="s">
        <v>87</v>
      </c>
      <c r="Q74" s="31">
        <f>1982.5</f>
        <v>1982.5</v>
      </c>
      <c r="R74" s="32" t="s">
        <v>934</v>
      </c>
      <c r="S74" s="33">
        <f>2010.93</f>
        <v>2010.93</v>
      </c>
      <c r="T74" s="30">
        <f>34690</f>
        <v>34690</v>
      </c>
      <c r="U74" s="30" t="str">
        <f>"－"</f>
        <v>－</v>
      </c>
      <c r="V74" s="30">
        <f>68820380</f>
        <v>68820380</v>
      </c>
      <c r="W74" s="30" t="str">
        <f>"－"</f>
        <v>－</v>
      </c>
      <c r="X74" s="34">
        <f>22</f>
        <v>22</v>
      </c>
    </row>
    <row r="75" spans="1:24" x14ac:dyDescent="0.15">
      <c r="A75" s="25" t="s">
        <v>1057</v>
      </c>
      <c r="B75" s="25" t="s">
        <v>260</v>
      </c>
      <c r="C75" s="25" t="s">
        <v>261</v>
      </c>
      <c r="D75" s="25" t="s">
        <v>262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32900</f>
        <v>32900</v>
      </c>
      <c r="L75" s="32" t="s">
        <v>813</v>
      </c>
      <c r="M75" s="31">
        <f>32900</f>
        <v>32900</v>
      </c>
      <c r="N75" s="32" t="s">
        <v>813</v>
      </c>
      <c r="O75" s="31">
        <f>30800</f>
        <v>30800</v>
      </c>
      <c r="P75" s="32" t="s">
        <v>906</v>
      </c>
      <c r="Q75" s="31">
        <f>32400</f>
        <v>32400</v>
      </c>
      <c r="R75" s="32" t="s">
        <v>908</v>
      </c>
      <c r="S75" s="33">
        <f>32075</f>
        <v>32075</v>
      </c>
      <c r="T75" s="30">
        <f>14</f>
        <v>14</v>
      </c>
      <c r="U75" s="30" t="str">
        <f>"－"</f>
        <v>－</v>
      </c>
      <c r="V75" s="30">
        <f>450350</f>
        <v>450350</v>
      </c>
      <c r="W75" s="30" t="str">
        <f>"－"</f>
        <v>－</v>
      </c>
      <c r="X75" s="34">
        <f>4</f>
        <v>4</v>
      </c>
    </row>
    <row r="76" spans="1:24" x14ac:dyDescent="0.15">
      <c r="A76" s="25" t="s">
        <v>1057</v>
      </c>
      <c r="B76" s="25" t="s">
        <v>263</v>
      </c>
      <c r="C76" s="25" t="s">
        <v>264</v>
      </c>
      <c r="D76" s="25" t="s">
        <v>265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22500</f>
        <v>22500</v>
      </c>
      <c r="L76" s="32" t="s">
        <v>904</v>
      </c>
      <c r="M76" s="31">
        <f>22730</f>
        <v>22730</v>
      </c>
      <c r="N76" s="32" t="s">
        <v>906</v>
      </c>
      <c r="O76" s="31">
        <f>21315</f>
        <v>21315</v>
      </c>
      <c r="P76" s="32" t="s">
        <v>934</v>
      </c>
      <c r="Q76" s="31">
        <f>21355</f>
        <v>21355</v>
      </c>
      <c r="R76" s="32" t="s">
        <v>934</v>
      </c>
      <c r="S76" s="33">
        <f>22078.18</f>
        <v>22078.18</v>
      </c>
      <c r="T76" s="30">
        <f>476358</f>
        <v>476358</v>
      </c>
      <c r="U76" s="30">
        <f>427010</f>
        <v>427010</v>
      </c>
      <c r="V76" s="30">
        <f>10663782948</f>
        <v>10663782948</v>
      </c>
      <c r="W76" s="30">
        <f>9568167108</f>
        <v>9568167108</v>
      </c>
      <c r="X76" s="34">
        <f>22</f>
        <v>22</v>
      </c>
    </row>
    <row r="77" spans="1:24" x14ac:dyDescent="0.15">
      <c r="A77" s="25" t="s">
        <v>1057</v>
      </c>
      <c r="B77" s="25" t="s">
        <v>267</v>
      </c>
      <c r="C77" s="25" t="s">
        <v>268</v>
      </c>
      <c r="D77" s="25" t="s">
        <v>269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15025</f>
        <v>15025</v>
      </c>
      <c r="L77" s="32" t="s">
        <v>904</v>
      </c>
      <c r="M77" s="31">
        <f>15190</f>
        <v>15190</v>
      </c>
      <c r="N77" s="32" t="s">
        <v>906</v>
      </c>
      <c r="O77" s="31">
        <f>14650</f>
        <v>14650</v>
      </c>
      <c r="P77" s="32" t="s">
        <v>936</v>
      </c>
      <c r="Q77" s="31">
        <f>14730</f>
        <v>14730</v>
      </c>
      <c r="R77" s="32" t="s">
        <v>934</v>
      </c>
      <c r="S77" s="33">
        <f>14966.59</f>
        <v>14966.59</v>
      </c>
      <c r="T77" s="30">
        <f>360380</f>
        <v>360380</v>
      </c>
      <c r="U77" s="30">
        <f>249448</f>
        <v>249448</v>
      </c>
      <c r="V77" s="30">
        <f>5416579431</f>
        <v>5416579431</v>
      </c>
      <c r="W77" s="30">
        <f>3751493106</f>
        <v>3751493106</v>
      </c>
      <c r="X77" s="34">
        <f>22</f>
        <v>22</v>
      </c>
    </row>
    <row r="78" spans="1:24" x14ac:dyDescent="0.15">
      <c r="A78" s="25" t="s">
        <v>1057</v>
      </c>
      <c r="B78" s="25" t="s">
        <v>270</v>
      </c>
      <c r="C78" s="25" t="s">
        <v>271</v>
      </c>
      <c r="D78" s="25" t="s">
        <v>272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2025</f>
        <v>2025</v>
      </c>
      <c r="L78" s="32" t="s">
        <v>904</v>
      </c>
      <c r="M78" s="31">
        <f>2035</f>
        <v>2035</v>
      </c>
      <c r="N78" s="32" t="s">
        <v>904</v>
      </c>
      <c r="O78" s="31">
        <f>1880.5</f>
        <v>1880.5</v>
      </c>
      <c r="P78" s="32" t="s">
        <v>87</v>
      </c>
      <c r="Q78" s="31">
        <f>1951</f>
        <v>1951</v>
      </c>
      <c r="R78" s="32" t="s">
        <v>934</v>
      </c>
      <c r="S78" s="33">
        <f>1971.3</f>
        <v>1971.3</v>
      </c>
      <c r="T78" s="30">
        <f>3185340</f>
        <v>3185340</v>
      </c>
      <c r="U78" s="30">
        <f>1577540</f>
        <v>1577540</v>
      </c>
      <c r="V78" s="30">
        <f>6242417540</f>
        <v>6242417540</v>
      </c>
      <c r="W78" s="30">
        <f>3107083905</f>
        <v>3107083905</v>
      </c>
      <c r="X78" s="34">
        <f>22</f>
        <v>22</v>
      </c>
    </row>
    <row r="79" spans="1:24" x14ac:dyDescent="0.15">
      <c r="A79" s="25" t="s">
        <v>1057</v>
      </c>
      <c r="B79" s="25" t="s">
        <v>273</v>
      </c>
      <c r="C79" s="25" t="s">
        <v>274</v>
      </c>
      <c r="D79" s="25" t="s">
        <v>275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43260</f>
        <v>43260</v>
      </c>
      <c r="L79" s="32" t="s">
        <v>904</v>
      </c>
      <c r="M79" s="31">
        <f>43940</f>
        <v>43940</v>
      </c>
      <c r="N79" s="32" t="s">
        <v>94</v>
      </c>
      <c r="O79" s="31">
        <f>41620</f>
        <v>41620</v>
      </c>
      <c r="P79" s="32" t="s">
        <v>810</v>
      </c>
      <c r="Q79" s="31">
        <f>43450</f>
        <v>43450</v>
      </c>
      <c r="R79" s="32" t="s">
        <v>934</v>
      </c>
      <c r="S79" s="33">
        <f>42825.45</f>
        <v>42825.45</v>
      </c>
      <c r="T79" s="30">
        <f>164098</f>
        <v>164098</v>
      </c>
      <c r="U79" s="30">
        <f>10275</f>
        <v>10275</v>
      </c>
      <c r="V79" s="30">
        <f>7021505573</f>
        <v>7021505573</v>
      </c>
      <c r="W79" s="30">
        <f>437435563</f>
        <v>437435563</v>
      </c>
      <c r="X79" s="34">
        <f>22</f>
        <v>22</v>
      </c>
    </row>
    <row r="80" spans="1:24" x14ac:dyDescent="0.15">
      <c r="A80" s="25" t="s">
        <v>1057</v>
      </c>
      <c r="B80" s="25" t="s">
        <v>276</v>
      </c>
      <c r="C80" s="25" t="s">
        <v>277</v>
      </c>
      <c r="D80" s="25" t="s">
        <v>278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7706</f>
        <v>7706</v>
      </c>
      <c r="L80" s="32" t="s">
        <v>813</v>
      </c>
      <c r="M80" s="31">
        <f>7706</f>
        <v>7706</v>
      </c>
      <c r="N80" s="32" t="s">
        <v>813</v>
      </c>
      <c r="O80" s="31">
        <f>7547</f>
        <v>7547</v>
      </c>
      <c r="P80" s="32" t="s">
        <v>812</v>
      </c>
      <c r="Q80" s="31">
        <f>7547</f>
        <v>7547</v>
      </c>
      <c r="R80" s="32" t="s">
        <v>812</v>
      </c>
      <c r="S80" s="33">
        <f>7650</f>
        <v>7650</v>
      </c>
      <c r="T80" s="30">
        <f>210</f>
        <v>210</v>
      </c>
      <c r="U80" s="30" t="str">
        <f>"－"</f>
        <v>－</v>
      </c>
      <c r="V80" s="30">
        <f>1610120</f>
        <v>1610120</v>
      </c>
      <c r="W80" s="30" t="str">
        <f>"－"</f>
        <v>－</v>
      </c>
      <c r="X80" s="34">
        <f>3</f>
        <v>3</v>
      </c>
    </row>
    <row r="81" spans="1:24" x14ac:dyDescent="0.15">
      <c r="A81" s="25" t="s">
        <v>1057</v>
      </c>
      <c r="B81" s="25" t="s">
        <v>279</v>
      </c>
      <c r="C81" s="25" t="s">
        <v>280</v>
      </c>
      <c r="D81" s="25" t="s">
        <v>281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16500</f>
        <v>16500</v>
      </c>
      <c r="L81" s="32" t="s">
        <v>904</v>
      </c>
      <c r="M81" s="31">
        <f>16500</f>
        <v>16500</v>
      </c>
      <c r="N81" s="32" t="s">
        <v>904</v>
      </c>
      <c r="O81" s="31">
        <f>15150</f>
        <v>15150</v>
      </c>
      <c r="P81" s="32" t="s">
        <v>812</v>
      </c>
      <c r="Q81" s="31">
        <f>15615</f>
        <v>15615</v>
      </c>
      <c r="R81" s="32" t="s">
        <v>934</v>
      </c>
      <c r="S81" s="33">
        <f>15722.14</f>
        <v>15722.14</v>
      </c>
      <c r="T81" s="30">
        <f>835</f>
        <v>835</v>
      </c>
      <c r="U81" s="30">
        <f>3</f>
        <v>3</v>
      </c>
      <c r="V81" s="30">
        <f>13085570</f>
        <v>13085570</v>
      </c>
      <c r="W81" s="30">
        <f>48495</f>
        <v>48495</v>
      </c>
      <c r="X81" s="34">
        <f>21</f>
        <v>21</v>
      </c>
    </row>
    <row r="82" spans="1:24" x14ac:dyDescent="0.15">
      <c r="A82" s="25" t="s">
        <v>1057</v>
      </c>
      <c r="B82" s="25" t="s">
        <v>282</v>
      </c>
      <c r="C82" s="25" t="s">
        <v>283</v>
      </c>
      <c r="D82" s="25" t="s">
        <v>284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16055</f>
        <v>16055</v>
      </c>
      <c r="L82" s="32" t="s">
        <v>904</v>
      </c>
      <c r="M82" s="31">
        <f>16100</f>
        <v>16100</v>
      </c>
      <c r="N82" s="32" t="s">
        <v>904</v>
      </c>
      <c r="O82" s="31">
        <f>15155</f>
        <v>15155</v>
      </c>
      <c r="P82" s="32" t="s">
        <v>66</v>
      </c>
      <c r="Q82" s="31">
        <f>15530</f>
        <v>15530</v>
      </c>
      <c r="R82" s="32" t="s">
        <v>934</v>
      </c>
      <c r="S82" s="33">
        <f>15605.91</f>
        <v>15605.91</v>
      </c>
      <c r="T82" s="30">
        <f>391</f>
        <v>391</v>
      </c>
      <c r="U82" s="30" t="str">
        <f>"－"</f>
        <v>－</v>
      </c>
      <c r="V82" s="30">
        <f>6097630</f>
        <v>6097630</v>
      </c>
      <c r="W82" s="30" t="str">
        <f>"－"</f>
        <v>－</v>
      </c>
      <c r="X82" s="34">
        <f>22</f>
        <v>22</v>
      </c>
    </row>
    <row r="83" spans="1:24" x14ac:dyDescent="0.15">
      <c r="A83" s="25" t="s">
        <v>1057</v>
      </c>
      <c r="B83" s="25" t="s">
        <v>285</v>
      </c>
      <c r="C83" s="25" t="s">
        <v>286</v>
      </c>
      <c r="D83" s="25" t="s">
        <v>287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20845</f>
        <v>20845</v>
      </c>
      <c r="L83" s="32" t="s">
        <v>904</v>
      </c>
      <c r="M83" s="31">
        <f>20955</f>
        <v>20955</v>
      </c>
      <c r="N83" s="32" t="s">
        <v>94</v>
      </c>
      <c r="O83" s="31">
        <f>20135</f>
        <v>20135</v>
      </c>
      <c r="P83" s="32" t="s">
        <v>810</v>
      </c>
      <c r="Q83" s="31">
        <f>20790</f>
        <v>20790</v>
      </c>
      <c r="R83" s="32" t="s">
        <v>934</v>
      </c>
      <c r="S83" s="33">
        <f>20551.82</f>
        <v>20551.82</v>
      </c>
      <c r="T83" s="30">
        <f>6952</f>
        <v>6952</v>
      </c>
      <c r="U83" s="30">
        <f>5</f>
        <v>5</v>
      </c>
      <c r="V83" s="30">
        <f>144159585</f>
        <v>144159585</v>
      </c>
      <c r="W83" s="30">
        <f>103295</f>
        <v>103295</v>
      </c>
      <c r="X83" s="34">
        <f>22</f>
        <v>22</v>
      </c>
    </row>
    <row r="84" spans="1:24" x14ac:dyDescent="0.15">
      <c r="A84" s="25" t="s">
        <v>1057</v>
      </c>
      <c r="B84" s="25" t="s">
        <v>288</v>
      </c>
      <c r="C84" s="25" t="s">
        <v>289</v>
      </c>
      <c r="D84" s="25" t="s">
        <v>290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10390</f>
        <v>10390</v>
      </c>
      <c r="L84" s="32" t="s">
        <v>904</v>
      </c>
      <c r="M84" s="31">
        <f>10655</f>
        <v>10655</v>
      </c>
      <c r="N84" s="32" t="s">
        <v>816</v>
      </c>
      <c r="O84" s="31">
        <f>10000</f>
        <v>10000</v>
      </c>
      <c r="P84" s="32" t="s">
        <v>66</v>
      </c>
      <c r="Q84" s="31">
        <f>10320</f>
        <v>10320</v>
      </c>
      <c r="R84" s="32" t="s">
        <v>934</v>
      </c>
      <c r="S84" s="33">
        <f>10364.55</f>
        <v>10364.549999999999</v>
      </c>
      <c r="T84" s="30">
        <f>15080</f>
        <v>15080</v>
      </c>
      <c r="U84" s="30">
        <f>80</f>
        <v>80</v>
      </c>
      <c r="V84" s="30">
        <f>154410400</f>
        <v>154410400</v>
      </c>
      <c r="W84" s="30">
        <f>826050</f>
        <v>826050</v>
      </c>
      <c r="X84" s="34">
        <f>22</f>
        <v>22</v>
      </c>
    </row>
    <row r="85" spans="1:24" x14ac:dyDescent="0.15">
      <c r="A85" s="25" t="s">
        <v>1057</v>
      </c>
      <c r="B85" s="25" t="s">
        <v>291</v>
      </c>
      <c r="C85" s="25" t="s">
        <v>292</v>
      </c>
      <c r="D85" s="25" t="s">
        <v>293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2020</f>
        <v>2020</v>
      </c>
      <c r="L85" s="32" t="s">
        <v>904</v>
      </c>
      <c r="M85" s="31">
        <f>2060</f>
        <v>2060</v>
      </c>
      <c r="N85" s="32" t="s">
        <v>911</v>
      </c>
      <c r="O85" s="31">
        <f>1970</f>
        <v>1970</v>
      </c>
      <c r="P85" s="32" t="s">
        <v>936</v>
      </c>
      <c r="Q85" s="31">
        <f>1983</f>
        <v>1983</v>
      </c>
      <c r="R85" s="32" t="s">
        <v>934</v>
      </c>
      <c r="S85" s="33">
        <f>2021.5</f>
        <v>2021.5</v>
      </c>
      <c r="T85" s="30">
        <f>359314</f>
        <v>359314</v>
      </c>
      <c r="U85" s="30">
        <f>181400</f>
        <v>181400</v>
      </c>
      <c r="V85" s="30">
        <f>730097038</f>
        <v>730097038</v>
      </c>
      <c r="W85" s="30">
        <f>371187920</f>
        <v>371187920</v>
      </c>
      <c r="X85" s="34">
        <f>22</f>
        <v>22</v>
      </c>
    </row>
    <row r="86" spans="1:24" x14ac:dyDescent="0.15">
      <c r="A86" s="25" t="s">
        <v>1057</v>
      </c>
      <c r="B86" s="25" t="s">
        <v>294</v>
      </c>
      <c r="C86" s="25" t="s">
        <v>295</v>
      </c>
      <c r="D86" s="25" t="s">
        <v>296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1984</f>
        <v>1984</v>
      </c>
      <c r="L86" s="32" t="s">
        <v>904</v>
      </c>
      <c r="M86" s="31">
        <f>2007</f>
        <v>2007</v>
      </c>
      <c r="N86" s="32" t="s">
        <v>915</v>
      </c>
      <c r="O86" s="31">
        <f>1907</f>
        <v>1907</v>
      </c>
      <c r="P86" s="32" t="s">
        <v>936</v>
      </c>
      <c r="Q86" s="31">
        <f>1937</f>
        <v>1937</v>
      </c>
      <c r="R86" s="32" t="s">
        <v>934</v>
      </c>
      <c r="S86" s="33">
        <f>1967.41</f>
        <v>1967.41</v>
      </c>
      <c r="T86" s="30">
        <f>720637</f>
        <v>720637</v>
      </c>
      <c r="U86" s="30" t="str">
        <f>"－"</f>
        <v>－</v>
      </c>
      <c r="V86" s="30">
        <f>1416530935</f>
        <v>1416530935</v>
      </c>
      <c r="W86" s="30" t="str">
        <f>"－"</f>
        <v>－</v>
      </c>
      <c r="X86" s="34">
        <f>22</f>
        <v>22</v>
      </c>
    </row>
    <row r="87" spans="1:24" x14ac:dyDescent="0.15">
      <c r="A87" s="25" t="s">
        <v>1057</v>
      </c>
      <c r="B87" s="25" t="s">
        <v>297</v>
      </c>
      <c r="C87" s="25" t="s">
        <v>298</v>
      </c>
      <c r="D87" s="25" t="s">
        <v>299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15365</f>
        <v>15365</v>
      </c>
      <c r="L87" s="32" t="s">
        <v>904</v>
      </c>
      <c r="M87" s="31">
        <f>15365</f>
        <v>15365</v>
      </c>
      <c r="N87" s="32" t="s">
        <v>904</v>
      </c>
      <c r="O87" s="31">
        <f>14435</f>
        <v>14435</v>
      </c>
      <c r="P87" s="32" t="s">
        <v>936</v>
      </c>
      <c r="Q87" s="31">
        <f>14475</f>
        <v>14475</v>
      </c>
      <c r="R87" s="32" t="s">
        <v>934</v>
      </c>
      <c r="S87" s="33">
        <f>14847.27</f>
        <v>14847.27</v>
      </c>
      <c r="T87" s="30">
        <f>41306</f>
        <v>41306</v>
      </c>
      <c r="U87" s="30">
        <f>16716</f>
        <v>16716</v>
      </c>
      <c r="V87" s="30">
        <f>609393127</f>
        <v>609393127</v>
      </c>
      <c r="W87" s="30">
        <f>244491522</f>
        <v>244491522</v>
      </c>
      <c r="X87" s="34">
        <f>22</f>
        <v>22</v>
      </c>
    </row>
    <row r="88" spans="1:24" x14ac:dyDescent="0.15">
      <c r="A88" s="25" t="s">
        <v>1057</v>
      </c>
      <c r="B88" s="25" t="s">
        <v>300</v>
      </c>
      <c r="C88" s="25" t="s">
        <v>301</v>
      </c>
      <c r="D88" s="25" t="s">
        <v>302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8953</f>
        <v>8953</v>
      </c>
      <c r="L88" s="32" t="s">
        <v>904</v>
      </c>
      <c r="M88" s="31">
        <f>9088</f>
        <v>9088</v>
      </c>
      <c r="N88" s="32" t="s">
        <v>812</v>
      </c>
      <c r="O88" s="31">
        <f>8900</f>
        <v>8900</v>
      </c>
      <c r="P88" s="32" t="s">
        <v>915</v>
      </c>
      <c r="Q88" s="31">
        <f>8920</f>
        <v>8920</v>
      </c>
      <c r="R88" s="32" t="s">
        <v>934</v>
      </c>
      <c r="S88" s="33">
        <f>8966.09</f>
        <v>8966.09</v>
      </c>
      <c r="T88" s="30">
        <f>1574</f>
        <v>1574</v>
      </c>
      <c r="U88" s="30">
        <f>1</f>
        <v>1</v>
      </c>
      <c r="V88" s="30">
        <f>14108595</f>
        <v>14108595</v>
      </c>
      <c r="W88" s="30">
        <f>9019</f>
        <v>9019</v>
      </c>
      <c r="X88" s="34">
        <f>22</f>
        <v>22</v>
      </c>
    </row>
    <row r="89" spans="1:24" x14ac:dyDescent="0.15">
      <c r="A89" s="25" t="s">
        <v>1057</v>
      </c>
      <c r="B89" s="25" t="s">
        <v>303</v>
      </c>
      <c r="C89" s="25" t="s">
        <v>304</v>
      </c>
      <c r="D89" s="25" t="s">
        <v>305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7465</f>
        <v>7465</v>
      </c>
      <c r="L89" s="32" t="s">
        <v>904</v>
      </c>
      <c r="M89" s="31">
        <f>7499</f>
        <v>7499</v>
      </c>
      <c r="N89" s="32" t="s">
        <v>56</v>
      </c>
      <c r="O89" s="31">
        <f>7261</f>
        <v>7261</v>
      </c>
      <c r="P89" s="32" t="s">
        <v>935</v>
      </c>
      <c r="Q89" s="31">
        <f>7393</f>
        <v>7393</v>
      </c>
      <c r="R89" s="32" t="s">
        <v>934</v>
      </c>
      <c r="S89" s="33">
        <f>7407.73</f>
        <v>7407.73</v>
      </c>
      <c r="T89" s="30">
        <f>1708936</f>
        <v>1708936</v>
      </c>
      <c r="U89" s="30">
        <f>115644</f>
        <v>115644</v>
      </c>
      <c r="V89" s="30">
        <f>12650283562</f>
        <v>12650283562</v>
      </c>
      <c r="W89" s="30">
        <f>857608104</f>
        <v>857608104</v>
      </c>
      <c r="X89" s="34">
        <f>22</f>
        <v>22</v>
      </c>
    </row>
    <row r="90" spans="1:24" x14ac:dyDescent="0.15">
      <c r="A90" s="25" t="s">
        <v>1057</v>
      </c>
      <c r="B90" s="25" t="s">
        <v>306</v>
      </c>
      <c r="C90" s="25" t="s">
        <v>307</v>
      </c>
      <c r="D90" s="25" t="s">
        <v>308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4200</f>
        <v>4200</v>
      </c>
      <c r="L90" s="32" t="s">
        <v>904</v>
      </c>
      <c r="M90" s="31">
        <f>4210</f>
        <v>4210</v>
      </c>
      <c r="N90" s="32" t="s">
        <v>904</v>
      </c>
      <c r="O90" s="31">
        <f>3895</f>
        <v>3895</v>
      </c>
      <c r="P90" s="32" t="s">
        <v>935</v>
      </c>
      <c r="Q90" s="31">
        <f>4110</f>
        <v>4110</v>
      </c>
      <c r="R90" s="32" t="s">
        <v>934</v>
      </c>
      <c r="S90" s="33">
        <f>4060.45</f>
        <v>4060.45</v>
      </c>
      <c r="T90" s="30">
        <f>403436</f>
        <v>403436</v>
      </c>
      <c r="U90" s="30">
        <f>1</f>
        <v>1</v>
      </c>
      <c r="V90" s="30">
        <f>1643382580</f>
        <v>1643382580</v>
      </c>
      <c r="W90" s="30">
        <f>4125</f>
        <v>4125</v>
      </c>
      <c r="X90" s="34">
        <f>22</f>
        <v>22</v>
      </c>
    </row>
    <row r="91" spans="1:24" x14ac:dyDescent="0.15">
      <c r="A91" s="25" t="s">
        <v>1057</v>
      </c>
      <c r="B91" s="25" t="s">
        <v>309</v>
      </c>
      <c r="C91" s="25" t="s">
        <v>310</v>
      </c>
      <c r="D91" s="25" t="s">
        <v>311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8930</f>
        <v>8930</v>
      </c>
      <c r="L91" s="32" t="s">
        <v>904</v>
      </c>
      <c r="M91" s="31">
        <f>9430</f>
        <v>9430</v>
      </c>
      <c r="N91" s="32" t="s">
        <v>915</v>
      </c>
      <c r="O91" s="31">
        <f>8762</f>
        <v>8762</v>
      </c>
      <c r="P91" s="32" t="s">
        <v>80</v>
      </c>
      <c r="Q91" s="31">
        <f>9260</f>
        <v>9260</v>
      </c>
      <c r="R91" s="32" t="s">
        <v>934</v>
      </c>
      <c r="S91" s="33">
        <f>9149.86</f>
        <v>9149.86</v>
      </c>
      <c r="T91" s="30">
        <f>227825</f>
        <v>227825</v>
      </c>
      <c r="U91" s="30">
        <f>2</f>
        <v>2</v>
      </c>
      <c r="V91" s="30">
        <f>2086509463</f>
        <v>2086509463</v>
      </c>
      <c r="W91" s="30">
        <f>18509</f>
        <v>18509</v>
      </c>
      <c r="X91" s="34">
        <f>22</f>
        <v>22</v>
      </c>
    </row>
    <row r="92" spans="1:24" x14ac:dyDescent="0.15">
      <c r="A92" s="25" t="s">
        <v>1057</v>
      </c>
      <c r="B92" s="25" t="s">
        <v>312</v>
      </c>
      <c r="C92" s="25" t="s">
        <v>313</v>
      </c>
      <c r="D92" s="25" t="s">
        <v>314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78760</f>
        <v>78760</v>
      </c>
      <c r="L92" s="32" t="s">
        <v>904</v>
      </c>
      <c r="M92" s="31">
        <f>79400</f>
        <v>79400</v>
      </c>
      <c r="N92" s="32" t="s">
        <v>909</v>
      </c>
      <c r="O92" s="31">
        <f>66570</f>
        <v>66570</v>
      </c>
      <c r="P92" s="32" t="s">
        <v>935</v>
      </c>
      <c r="Q92" s="31">
        <f>71210</f>
        <v>71210</v>
      </c>
      <c r="R92" s="32" t="s">
        <v>934</v>
      </c>
      <c r="S92" s="33">
        <f>73653.64</f>
        <v>73653.64</v>
      </c>
      <c r="T92" s="30">
        <f>10140</f>
        <v>10140</v>
      </c>
      <c r="U92" s="30">
        <f>8</f>
        <v>8</v>
      </c>
      <c r="V92" s="30">
        <f>729730520</f>
        <v>729730520</v>
      </c>
      <c r="W92" s="30">
        <f>568020</f>
        <v>568020</v>
      </c>
      <c r="X92" s="34">
        <f>22</f>
        <v>22</v>
      </c>
    </row>
    <row r="93" spans="1:24" x14ac:dyDescent="0.15">
      <c r="A93" s="25" t="s">
        <v>1057</v>
      </c>
      <c r="B93" s="25" t="s">
        <v>315</v>
      </c>
      <c r="C93" s="25" t="s">
        <v>940</v>
      </c>
      <c r="D93" s="25" t="s">
        <v>941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16805</f>
        <v>16805</v>
      </c>
      <c r="L93" s="32" t="s">
        <v>904</v>
      </c>
      <c r="M93" s="31">
        <f>16820</f>
        <v>16820</v>
      </c>
      <c r="N93" s="32" t="s">
        <v>904</v>
      </c>
      <c r="O93" s="31">
        <f>14505</f>
        <v>14505</v>
      </c>
      <c r="P93" s="32" t="s">
        <v>936</v>
      </c>
      <c r="Q93" s="31">
        <f>14700</f>
        <v>14700</v>
      </c>
      <c r="R93" s="32" t="s">
        <v>934</v>
      </c>
      <c r="S93" s="33">
        <f>15622.5</f>
        <v>15622.5</v>
      </c>
      <c r="T93" s="30">
        <f>1275603</f>
        <v>1275603</v>
      </c>
      <c r="U93" s="30">
        <f>43014</f>
        <v>43014</v>
      </c>
      <c r="V93" s="30">
        <f>19887070372</f>
        <v>19887070372</v>
      </c>
      <c r="W93" s="30">
        <f>653756067</f>
        <v>653756067</v>
      </c>
      <c r="X93" s="34">
        <f>22</f>
        <v>22</v>
      </c>
    </row>
    <row r="94" spans="1:24" x14ac:dyDescent="0.15">
      <c r="A94" s="25" t="s">
        <v>1057</v>
      </c>
      <c r="B94" s="25" t="s">
        <v>318</v>
      </c>
      <c r="C94" s="25" t="s">
        <v>942</v>
      </c>
      <c r="D94" s="25" t="s">
        <v>943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46290</f>
        <v>46290</v>
      </c>
      <c r="L94" s="32" t="s">
        <v>904</v>
      </c>
      <c r="M94" s="31">
        <f>46340</f>
        <v>46340</v>
      </c>
      <c r="N94" s="32" t="s">
        <v>904</v>
      </c>
      <c r="O94" s="31">
        <f>42180</f>
        <v>42180</v>
      </c>
      <c r="P94" s="32" t="s">
        <v>87</v>
      </c>
      <c r="Q94" s="31">
        <f>42890</f>
        <v>42890</v>
      </c>
      <c r="R94" s="32" t="s">
        <v>934</v>
      </c>
      <c r="S94" s="33">
        <f>44169.55</f>
        <v>44169.55</v>
      </c>
      <c r="T94" s="30">
        <f>150491</f>
        <v>150491</v>
      </c>
      <c r="U94" s="30" t="str">
        <f>"－"</f>
        <v>－</v>
      </c>
      <c r="V94" s="30">
        <f>6642101470</f>
        <v>6642101470</v>
      </c>
      <c r="W94" s="30" t="str">
        <f>"－"</f>
        <v>－</v>
      </c>
      <c r="X94" s="34">
        <f>22</f>
        <v>22</v>
      </c>
    </row>
    <row r="95" spans="1:24" x14ac:dyDescent="0.15">
      <c r="A95" s="25" t="s">
        <v>1057</v>
      </c>
      <c r="B95" s="25" t="s">
        <v>321</v>
      </c>
      <c r="C95" s="25" t="s">
        <v>322</v>
      </c>
      <c r="D95" s="25" t="s">
        <v>323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6150</f>
        <v>6150</v>
      </c>
      <c r="L95" s="32" t="s">
        <v>904</v>
      </c>
      <c r="M95" s="31">
        <f>6155</f>
        <v>6155</v>
      </c>
      <c r="N95" s="32" t="s">
        <v>904</v>
      </c>
      <c r="O95" s="31">
        <f>5514</f>
        <v>5514</v>
      </c>
      <c r="P95" s="32" t="s">
        <v>87</v>
      </c>
      <c r="Q95" s="31">
        <f>5585</f>
        <v>5585</v>
      </c>
      <c r="R95" s="32" t="s">
        <v>934</v>
      </c>
      <c r="S95" s="33">
        <f>5805.36</f>
        <v>5805.36</v>
      </c>
      <c r="T95" s="30">
        <f>2622790</f>
        <v>2622790</v>
      </c>
      <c r="U95" s="30">
        <f>435330</f>
        <v>435330</v>
      </c>
      <c r="V95" s="30">
        <f>15280385985</f>
        <v>15280385985</v>
      </c>
      <c r="W95" s="30">
        <f>2567398115</f>
        <v>2567398115</v>
      </c>
      <c r="X95" s="34">
        <f>22</f>
        <v>22</v>
      </c>
    </row>
    <row r="96" spans="1:24" x14ac:dyDescent="0.15">
      <c r="A96" s="25" t="s">
        <v>1057</v>
      </c>
      <c r="B96" s="25" t="s">
        <v>324</v>
      </c>
      <c r="C96" s="25" t="s">
        <v>325</v>
      </c>
      <c r="D96" s="25" t="s">
        <v>326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3904</f>
        <v>3904</v>
      </c>
      <c r="L96" s="32" t="s">
        <v>904</v>
      </c>
      <c r="M96" s="31">
        <f>3905</f>
        <v>3905</v>
      </c>
      <c r="N96" s="32" t="s">
        <v>904</v>
      </c>
      <c r="O96" s="31">
        <f>3518</f>
        <v>3518</v>
      </c>
      <c r="P96" s="32" t="s">
        <v>87</v>
      </c>
      <c r="Q96" s="31">
        <f>3573</f>
        <v>3573</v>
      </c>
      <c r="R96" s="32" t="s">
        <v>934</v>
      </c>
      <c r="S96" s="33">
        <f>3695.18</f>
        <v>3695.18</v>
      </c>
      <c r="T96" s="30">
        <f>138480</f>
        <v>138480</v>
      </c>
      <c r="U96" s="30">
        <f>10</f>
        <v>10</v>
      </c>
      <c r="V96" s="30">
        <f>510728490</f>
        <v>510728490</v>
      </c>
      <c r="W96" s="30">
        <f>38300</f>
        <v>38300</v>
      </c>
      <c r="X96" s="34">
        <f>22</f>
        <v>22</v>
      </c>
    </row>
    <row r="97" spans="1:24" x14ac:dyDescent="0.15">
      <c r="A97" s="25" t="s">
        <v>1057</v>
      </c>
      <c r="B97" s="25" t="s">
        <v>327</v>
      </c>
      <c r="C97" s="25" t="s">
        <v>1037</v>
      </c>
      <c r="D97" s="25" t="s">
        <v>1038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4339</f>
        <v>4339</v>
      </c>
      <c r="L97" s="32" t="s">
        <v>904</v>
      </c>
      <c r="M97" s="31">
        <f>4360</f>
        <v>4360</v>
      </c>
      <c r="N97" s="32" t="s">
        <v>56</v>
      </c>
      <c r="O97" s="31">
        <f>4191</f>
        <v>4191</v>
      </c>
      <c r="P97" s="32" t="s">
        <v>935</v>
      </c>
      <c r="Q97" s="31">
        <f>4290</f>
        <v>4290</v>
      </c>
      <c r="R97" s="32" t="s">
        <v>934</v>
      </c>
      <c r="S97" s="33">
        <f>4279.32</f>
        <v>4279.32</v>
      </c>
      <c r="T97" s="30">
        <f>10120</f>
        <v>10120</v>
      </c>
      <c r="U97" s="30" t="str">
        <f>"－"</f>
        <v>－</v>
      </c>
      <c r="V97" s="30">
        <f>43183520</f>
        <v>43183520</v>
      </c>
      <c r="W97" s="30" t="str">
        <f>"－"</f>
        <v>－</v>
      </c>
      <c r="X97" s="34">
        <f>22</f>
        <v>22</v>
      </c>
    </row>
    <row r="98" spans="1:24" x14ac:dyDescent="0.15">
      <c r="A98" s="25" t="s">
        <v>1057</v>
      </c>
      <c r="B98" s="25" t="s">
        <v>330</v>
      </c>
      <c r="C98" s="25" t="s">
        <v>331</v>
      </c>
      <c r="D98" s="25" t="s">
        <v>332</v>
      </c>
      <c r="E98" s="26" t="s">
        <v>45</v>
      </c>
      <c r="F98" s="27" t="s">
        <v>45</v>
      </c>
      <c r="G98" s="28" t="s">
        <v>45</v>
      </c>
      <c r="H98" s="29" t="s">
        <v>333</v>
      </c>
      <c r="I98" s="29" t="s">
        <v>46</v>
      </c>
      <c r="J98" s="30">
        <v>1</v>
      </c>
      <c r="K98" s="31">
        <f>1626</f>
        <v>1626</v>
      </c>
      <c r="L98" s="32" t="s">
        <v>904</v>
      </c>
      <c r="M98" s="31">
        <f>1681</f>
        <v>1681</v>
      </c>
      <c r="N98" s="32" t="s">
        <v>912</v>
      </c>
      <c r="O98" s="31">
        <f>1461</f>
        <v>1461</v>
      </c>
      <c r="P98" s="32" t="s">
        <v>908</v>
      </c>
      <c r="Q98" s="31">
        <f>1499</f>
        <v>1499</v>
      </c>
      <c r="R98" s="32" t="s">
        <v>934</v>
      </c>
      <c r="S98" s="33">
        <f>1573.95</f>
        <v>1573.95</v>
      </c>
      <c r="T98" s="30">
        <f>46792399</f>
        <v>46792399</v>
      </c>
      <c r="U98" s="30">
        <f>304053</f>
        <v>304053</v>
      </c>
      <c r="V98" s="30">
        <f>73802306387</f>
        <v>73802306387</v>
      </c>
      <c r="W98" s="30">
        <f>442023232</f>
        <v>442023232</v>
      </c>
      <c r="X98" s="34">
        <f>22</f>
        <v>22</v>
      </c>
    </row>
    <row r="99" spans="1:24" x14ac:dyDescent="0.15">
      <c r="A99" s="25" t="s">
        <v>1057</v>
      </c>
      <c r="B99" s="25" t="s">
        <v>334</v>
      </c>
      <c r="C99" s="25" t="s">
        <v>335</v>
      </c>
      <c r="D99" s="25" t="s">
        <v>336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3300</f>
        <v>3300</v>
      </c>
      <c r="L99" s="32" t="s">
        <v>904</v>
      </c>
      <c r="M99" s="31">
        <f>3310</f>
        <v>3310</v>
      </c>
      <c r="N99" s="32" t="s">
        <v>904</v>
      </c>
      <c r="O99" s="31">
        <f>2994.5</f>
        <v>2994.5</v>
      </c>
      <c r="P99" s="32" t="s">
        <v>87</v>
      </c>
      <c r="Q99" s="31">
        <f>3048</f>
        <v>3048</v>
      </c>
      <c r="R99" s="32" t="s">
        <v>934</v>
      </c>
      <c r="S99" s="33">
        <f>3145.52</f>
        <v>3145.52</v>
      </c>
      <c r="T99" s="30">
        <f>121720</f>
        <v>121720</v>
      </c>
      <c r="U99" s="30" t="str">
        <f>"－"</f>
        <v>－</v>
      </c>
      <c r="V99" s="30">
        <f>382041515</f>
        <v>382041515</v>
      </c>
      <c r="W99" s="30" t="str">
        <f>"－"</f>
        <v>－</v>
      </c>
      <c r="X99" s="34">
        <f>22</f>
        <v>22</v>
      </c>
    </row>
    <row r="100" spans="1:24" x14ac:dyDescent="0.15">
      <c r="A100" s="25" t="s">
        <v>1057</v>
      </c>
      <c r="B100" s="25" t="s">
        <v>337</v>
      </c>
      <c r="C100" s="25" t="s">
        <v>338</v>
      </c>
      <c r="D100" s="25" t="s">
        <v>339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1758</f>
        <v>1758</v>
      </c>
      <c r="L100" s="32" t="s">
        <v>904</v>
      </c>
      <c r="M100" s="31">
        <f>1770</f>
        <v>1770</v>
      </c>
      <c r="N100" s="32" t="s">
        <v>904</v>
      </c>
      <c r="O100" s="31">
        <f>1545</f>
        <v>1545</v>
      </c>
      <c r="P100" s="32" t="s">
        <v>87</v>
      </c>
      <c r="Q100" s="31">
        <f>1623</f>
        <v>1623</v>
      </c>
      <c r="R100" s="32" t="s">
        <v>934</v>
      </c>
      <c r="S100" s="33">
        <f>1654.82</f>
        <v>1654.82</v>
      </c>
      <c r="T100" s="30">
        <f>161030</f>
        <v>161030</v>
      </c>
      <c r="U100" s="30">
        <f>41600</f>
        <v>41600</v>
      </c>
      <c r="V100" s="30">
        <f>264846404</f>
        <v>264846404</v>
      </c>
      <c r="W100" s="30">
        <f>69474839</f>
        <v>69474839</v>
      </c>
      <c r="X100" s="34">
        <f>22</f>
        <v>22</v>
      </c>
    </row>
    <row r="101" spans="1:24" x14ac:dyDescent="0.15">
      <c r="A101" s="25" t="s">
        <v>1057</v>
      </c>
      <c r="B101" s="25" t="s">
        <v>340</v>
      </c>
      <c r="C101" s="25" t="s">
        <v>341</v>
      </c>
      <c r="D101" s="25" t="s">
        <v>342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56080</f>
        <v>56080</v>
      </c>
      <c r="L101" s="32" t="s">
        <v>904</v>
      </c>
      <c r="M101" s="31">
        <f>56140</f>
        <v>56140</v>
      </c>
      <c r="N101" s="32" t="s">
        <v>904</v>
      </c>
      <c r="O101" s="31">
        <f>50100</f>
        <v>50100</v>
      </c>
      <c r="P101" s="32" t="s">
        <v>87</v>
      </c>
      <c r="Q101" s="31">
        <f>50710</f>
        <v>50710</v>
      </c>
      <c r="R101" s="32" t="s">
        <v>934</v>
      </c>
      <c r="S101" s="33">
        <f>52834.09</f>
        <v>52834.09</v>
      </c>
      <c r="T101" s="30">
        <f>124235</f>
        <v>124235</v>
      </c>
      <c r="U101" s="30">
        <f>6522</f>
        <v>6522</v>
      </c>
      <c r="V101" s="30">
        <f>6574030370</f>
        <v>6574030370</v>
      </c>
      <c r="W101" s="30">
        <f>345962710</f>
        <v>345962710</v>
      </c>
      <c r="X101" s="34">
        <f>22</f>
        <v>22</v>
      </c>
    </row>
    <row r="102" spans="1:24" x14ac:dyDescent="0.15">
      <c r="A102" s="25" t="s">
        <v>1057</v>
      </c>
      <c r="B102" s="25" t="s">
        <v>343</v>
      </c>
      <c r="C102" s="25" t="s">
        <v>344</v>
      </c>
      <c r="D102" s="25" t="s">
        <v>345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3395</f>
        <v>3395</v>
      </c>
      <c r="L102" s="32" t="s">
        <v>904</v>
      </c>
      <c r="M102" s="31">
        <f>3480</f>
        <v>3480</v>
      </c>
      <c r="N102" s="32" t="s">
        <v>56</v>
      </c>
      <c r="O102" s="31">
        <f>3290</f>
        <v>3290</v>
      </c>
      <c r="P102" s="32" t="s">
        <v>812</v>
      </c>
      <c r="Q102" s="31">
        <f>3405</f>
        <v>3405</v>
      </c>
      <c r="R102" s="32" t="s">
        <v>934</v>
      </c>
      <c r="S102" s="33">
        <f>3402.73</f>
        <v>3402.73</v>
      </c>
      <c r="T102" s="30">
        <f>9821</f>
        <v>9821</v>
      </c>
      <c r="U102" s="30" t="str">
        <f>"－"</f>
        <v>－</v>
      </c>
      <c r="V102" s="30">
        <f>33532940</f>
        <v>33532940</v>
      </c>
      <c r="W102" s="30" t="str">
        <f>"－"</f>
        <v>－</v>
      </c>
      <c r="X102" s="34">
        <f>22</f>
        <v>22</v>
      </c>
    </row>
    <row r="103" spans="1:24" x14ac:dyDescent="0.15">
      <c r="A103" s="25" t="s">
        <v>1057</v>
      </c>
      <c r="B103" s="25" t="s">
        <v>346</v>
      </c>
      <c r="C103" s="25" t="s">
        <v>347</v>
      </c>
      <c r="D103" s="25" t="s">
        <v>348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4420</f>
        <v>4420</v>
      </c>
      <c r="L103" s="32" t="s">
        <v>904</v>
      </c>
      <c r="M103" s="31">
        <f>4500</f>
        <v>4500</v>
      </c>
      <c r="N103" s="32" t="s">
        <v>915</v>
      </c>
      <c r="O103" s="31">
        <f>4185</f>
        <v>4185</v>
      </c>
      <c r="P103" s="32" t="s">
        <v>66</v>
      </c>
      <c r="Q103" s="31">
        <f>4370</f>
        <v>4370</v>
      </c>
      <c r="R103" s="32" t="s">
        <v>934</v>
      </c>
      <c r="S103" s="33">
        <f>4382.95</f>
        <v>4382.95</v>
      </c>
      <c r="T103" s="30">
        <f>14131</f>
        <v>14131</v>
      </c>
      <c r="U103" s="30" t="str">
        <f>"－"</f>
        <v>－</v>
      </c>
      <c r="V103" s="30">
        <f>61359910</f>
        <v>61359910</v>
      </c>
      <c r="W103" s="30" t="str">
        <f>"－"</f>
        <v>－</v>
      </c>
      <c r="X103" s="34">
        <f>22</f>
        <v>22</v>
      </c>
    </row>
    <row r="104" spans="1:24" x14ac:dyDescent="0.15">
      <c r="A104" s="25" t="s">
        <v>1057</v>
      </c>
      <c r="B104" s="25" t="s">
        <v>349</v>
      </c>
      <c r="C104" s="25" t="s">
        <v>1039</v>
      </c>
      <c r="D104" s="25" t="s">
        <v>1040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2695</f>
        <v>2695</v>
      </c>
      <c r="L104" s="32" t="s">
        <v>904</v>
      </c>
      <c r="M104" s="31">
        <f>2700</f>
        <v>2700</v>
      </c>
      <c r="N104" s="32" t="s">
        <v>904</v>
      </c>
      <c r="O104" s="31">
        <f>2219</f>
        <v>2219</v>
      </c>
      <c r="P104" s="32" t="s">
        <v>812</v>
      </c>
      <c r="Q104" s="31">
        <f>2338</f>
        <v>2338</v>
      </c>
      <c r="R104" s="32" t="s">
        <v>934</v>
      </c>
      <c r="S104" s="33">
        <f>2448.82</f>
        <v>2448.8200000000002</v>
      </c>
      <c r="T104" s="30">
        <f>639140</f>
        <v>639140</v>
      </c>
      <c r="U104" s="30">
        <f>14</f>
        <v>14</v>
      </c>
      <c r="V104" s="30">
        <f>1558344041</f>
        <v>1558344041</v>
      </c>
      <c r="W104" s="30">
        <f>32520</f>
        <v>32520</v>
      </c>
      <c r="X104" s="34">
        <f>22</f>
        <v>22</v>
      </c>
    </row>
    <row r="105" spans="1:24" x14ac:dyDescent="0.15">
      <c r="A105" s="25" t="s">
        <v>1057</v>
      </c>
      <c r="B105" s="25" t="s">
        <v>352</v>
      </c>
      <c r="C105" s="25" t="s">
        <v>353</v>
      </c>
      <c r="D105" s="25" t="s">
        <v>354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43250</f>
        <v>43250</v>
      </c>
      <c r="L105" s="32" t="s">
        <v>904</v>
      </c>
      <c r="M105" s="31">
        <f>43700</f>
        <v>43700</v>
      </c>
      <c r="N105" s="32" t="s">
        <v>906</v>
      </c>
      <c r="O105" s="31">
        <f>42600</f>
        <v>42600</v>
      </c>
      <c r="P105" s="32" t="s">
        <v>87</v>
      </c>
      <c r="Q105" s="31">
        <f>42730</f>
        <v>42730</v>
      </c>
      <c r="R105" s="32" t="s">
        <v>934</v>
      </c>
      <c r="S105" s="33">
        <f>43173.64</f>
        <v>43173.64</v>
      </c>
      <c r="T105" s="30">
        <f>17484</f>
        <v>17484</v>
      </c>
      <c r="U105" s="30">
        <f>1301</f>
        <v>1301</v>
      </c>
      <c r="V105" s="30">
        <f>753398214</f>
        <v>753398214</v>
      </c>
      <c r="W105" s="30">
        <f>56001974</f>
        <v>56001974</v>
      </c>
      <c r="X105" s="34">
        <f>22</f>
        <v>22</v>
      </c>
    </row>
    <row r="106" spans="1:24" x14ac:dyDescent="0.15">
      <c r="A106" s="25" t="s">
        <v>1057</v>
      </c>
      <c r="B106" s="25" t="s">
        <v>355</v>
      </c>
      <c r="C106" s="25" t="s">
        <v>356</v>
      </c>
      <c r="D106" s="25" t="s">
        <v>357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25620</f>
        <v>25620</v>
      </c>
      <c r="L106" s="32" t="s">
        <v>904</v>
      </c>
      <c r="M106" s="31">
        <f>25655</f>
        <v>25655</v>
      </c>
      <c r="N106" s="32" t="s">
        <v>904</v>
      </c>
      <c r="O106" s="31">
        <f>22620</f>
        <v>22620</v>
      </c>
      <c r="P106" s="32" t="s">
        <v>936</v>
      </c>
      <c r="Q106" s="31">
        <f>22905</f>
        <v>22905</v>
      </c>
      <c r="R106" s="32" t="s">
        <v>934</v>
      </c>
      <c r="S106" s="33">
        <f>23906.14</f>
        <v>23906.14</v>
      </c>
      <c r="T106" s="30">
        <f>2870450</f>
        <v>2870450</v>
      </c>
      <c r="U106" s="30">
        <f>130</f>
        <v>130</v>
      </c>
      <c r="V106" s="30">
        <f>68301023150</f>
        <v>68301023150</v>
      </c>
      <c r="W106" s="30">
        <f>3108550</f>
        <v>3108550</v>
      </c>
      <c r="X106" s="34">
        <f>22</f>
        <v>22</v>
      </c>
    </row>
    <row r="107" spans="1:24" x14ac:dyDescent="0.15">
      <c r="A107" s="25" t="s">
        <v>1057</v>
      </c>
      <c r="B107" s="25" t="s">
        <v>358</v>
      </c>
      <c r="C107" s="25" t="s">
        <v>359</v>
      </c>
      <c r="D107" s="25" t="s">
        <v>360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1965.5</f>
        <v>1965.5</v>
      </c>
      <c r="L107" s="32" t="s">
        <v>904</v>
      </c>
      <c r="M107" s="31">
        <f>2085</f>
        <v>2085</v>
      </c>
      <c r="N107" s="32" t="s">
        <v>936</v>
      </c>
      <c r="O107" s="31">
        <f>1965.5</f>
        <v>1965.5</v>
      </c>
      <c r="P107" s="32" t="s">
        <v>904</v>
      </c>
      <c r="Q107" s="31">
        <f>2074</f>
        <v>2074</v>
      </c>
      <c r="R107" s="32" t="s">
        <v>934</v>
      </c>
      <c r="S107" s="33">
        <f>2032</f>
        <v>2032</v>
      </c>
      <c r="T107" s="30">
        <f>184450</f>
        <v>184450</v>
      </c>
      <c r="U107" s="30">
        <f>70</f>
        <v>70</v>
      </c>
      <c r="V107" s="30">
        <f>375907200</f>
        <v>375907200</v>
      </c>
      <c r="W107" s="30">
        <f>144445</f>
        <v>144445</v>
      </c>
      <c r="X107" s="34">
        <f>22</f>
        <v>22</v>
      </c>
    </row>
    <row r="108" spans="1:24" x14ac:dyDescent="0.15">
      <c r="A108" s="25" t="s">
        <v>1057</v>
      </c>
      <c r="B108" s="25" t="s">
        <v>361</v>
      </c>
      <c r="C108" s="25" t="s">
        <v>362</v>
      </c>
      <c r="D108" s="25" t="s">
        <v>363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15165</f>
        <v>15165</v>
      </c>
      <c r="L108" s="32" t="s">
        <v>904</v>
      </c>
      <c r="M108" s="31">
        <f>15170</f>
        <v>15170</v>
      </c>
      <c r="N108" s="32" t="s">
        <v>904</v>
      </c>
      <c r="O108" s="31">
        <f>12615</f>
        <v>12615</v>
      </c>
      <c r="P108" s="32" t="s">
        <v>936</v>
      </c>
      <c r="Q108" s="31">
        <f>12750</f>
        <v>12750</v>
      </c>
      <c r="R108" s="32" t="s">
        <v>934</v>
      </c>
      <c r="S108" s="33">
        <f>13867.05</f>
        <v>13867.05</v>
      </c>
      <c r="T108" s="30">
        <f>205828699</f>
        <v>205828699</v>
      </c>
      <c r="U108" s="30">
        <f>373994</f>
        <v>373994</v>
      </c>
      <c r="V108" s="30">
        <f>2848040005476</f>
        <v>2848040005476</v>
      </c>
      <c r="W108" s="30">
        <f>5198337316</f>
        <v>5198337316</v>
      </c>
      <c r="X108" s="34">
        <f>22</f>
        <v>22</v>
      </c>
    </row>
    <row r="109" spans="1:24" x14ac:dyDescent="0.15">
      <c r="A109" s="25" t="s">
        <v>1057</v>
      </c>
      <c r="B109" s="25" t="s">
        <v>364</v>
      </c>
      <c r="C109" s="25" t="s">
        <v>365</v>
      </c>
      <c r="D109" s="25" t="s">
        <v>366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927</f>
        <v>927</v>
      </c>
      <c r="L109" s="32" t="s">
        <v>904</v>
      </c>
      <c r="M109" s="31">
        <f>1013</f>
        <v>1013</v>
      </c>
      <c r="N109" s="32" t="s">
        <v>936</v>
      </c>
      <c r="O109" s="31">
        <f>927</f>
        <v>927</v>
      </c>
      <c r="P109" s="32" t="s">
        <v>904</v>
      </c>
      <c r="Q109" s="31">
        <f>1008</f>
        <v>1008</v>
      </c>
      <c r="R109" s="32" t="s">
        <v>934</v>
      </c>
      <c r="S109" s="33">
        <f>969.05</f>
        <v>969.05</v>
      </c>
      <c r="T109" s="30">
        <f>19661959</f>
        <v>19661959</v>
      </c>
      <c r="U109" s="30">
        <f>400000</f>
        <v>400000</v>
      </c>
      <c r="V109" s="30">
        <f>18960308239</f>
        <v>18960308239</v>
      </c>
      <c r="W109" s="30">
        <f>399818000</f>
        <v>399818000</v>
      </c>
      <c r="X109" s="34">
        <f>22</f>
        <v>22</v>
      </c>
    </row>
    <row r="110" spans="1:24" x14ac:dyDescent="0.15">
      <c r="A110" s="25" t="s">
        <v>1057</v>
      </c>
      <c r="B110" s="25" t="s">
        <v>367</v>
      </c>
      <c r="C110" s="25" t="s">
        <v>368</v>
      </c>
      <c r="D110" s="25" t="s">
        <v>369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4700</f>
        <v>4700</v>
      </c>
      <c r="L110" s="32" t="s">
        <v>904</v>
      </c>
      <c r="M110" s="31">
        <f>5050</f>
        <v>5050</v>
      </c>
      <c r="N110" s="32" t="s">
        <v>70</v>
      </c>
      <c r="O110" s="31">
        <f>4330</f>
        <v>4330</v>
      </c>
      <c r="P110" s="32" t="s">
        <v>909</v>
      </c>
      <c r="Q110" s="31">
        <f>4789</f>
        <v>4789</v>
      </c>
      <c r="R110" s="32" t="s">
        <v>934</v>
      </c>
      <c r="S110" s="33">
        <f>4733.18</f>
        <v>4733.18</v>
      </c>
      <c r="T110" s="30">
        <f>536710</f>
        <v>536710</v>
      </c>
      <c r="U110" s="30">
        <f>100</f>
        <v>100</v>
      </c>
      <c r="V110" s="30">
        <f>2554046130</f>
        <v>2554046130</v>
      </c>
      <c r="W110" s="30">
        <f>446090</f>
        <v>446090</v>
      </c>
      <c r="X110" s="34">
        <f>22</f>
        <v>22</v>
      </c>
    </row>
    <row r="111" spans="1:24" x14ac:dyDescent="0.15">
      <c r="A111" s="25" t="s">
        <v>1057</v>
      </c>
      <c r="B111" s="25" t="s">
        <v>370</v>
      </c>
      <c r="C111" s="25" t="s">
        <v>371</v>
      </c>
      <c r="D111" s="25" t="s">
        <v>372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10815</f>
        <v>10815</v>
      </c>
      <c r="L111" s="32" t="s">
        <v>904</v>
      </c>
      <c r="M111" s="31">
        <f>11500</f>
        <v>11500</v>
      </c>
      <c r="N111" s="32" t="s">
        <v>87</v>
      </c>
      <c r="O111" s="31">
        <f>9971</f>
        <v>9971</v>
      </c>
      <c r="P111" s="32" t="s">
        <v>934</v>
      </c>
      <c r="Q111" s="31">
        <f>10265</f>
        <v>10265</v>
      </c>
      <c r="R111" s="32" t="s">
        <v>934</v>
      </c>
      <c r="S111" s="33">
        <f>10582.95</f>
        <v>10582.95</v>
      </c>
      <c r="T111" s="30">
        <f>47050</f>
        <v>47050</v>
      </c>
      <c r="U111" s="30">
        <f>730</f>
        <v>730</v>
      </c>
      <c r="V111" s="30">
        <f>499796650</f>
        <v>499796650</v>
      </c>
      <c r="W111" s="30">
        <f>7476100</f>
        <v>7476100</v>
      </c>
      <c r="X111" s="34">
        <f>22</f>
        <v>22</v>
      </c>
    </row>
    <row r="112" spans="1:24" x14ac:dyDescent="0.15">
      <c r="A112" s="25" t="s">
        <v>1057</v>
      </c>
      <c r="B112" s="25" t="s">
        <v>376</v>
      </c>
      <c r="C112" s="25" t="s">
        <v>377</v>
      </c>
      <c r="D112" s="25" t="s">
        <v>378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25120</f>
        <v>25120</v>
      </c>
      <c r="L112" s="32" t="s">
        <v>904</v>
      </c>
      <c r="M112" s="31">
        <f>25120</f>
        <v>25120</v>
      </c>
      <c r="N112" s="32" t="s">
        <v>904</v>
      </c>
      <c r="O112" s="31">
        <f>24200</f>
        <v>24200</v>
      </c>
      <c r="P112" s="32" t="s">
        <v>80</v>
      </c>
      <c r="Q112" s="31">
        <f>24695</f>
        <v>24695</v>
      </c>
      <c r="R112" s="32" t="s">
        <v>934</v>
      </c>
      <c r="S112" s="33">
        <f>24670.68</f>
        <v>24670.68</v>
      </c>
      <c r="T112" s="30">
        <f>149326</f>
        <v>149326</v>
      </c>
      <c r="U112" s="30">
        <f>79114</f>
        <v>79114</v>
      </c>
      <c r="V112" s="30">
        <f>3682782960</f>
        <v>3682782960</v>
      </c>
      <c r="W112" s="30">
        <f>1950868250</f>
        <v>1950868250</v>
      </c>
      <c r="X112" s="34">
        <f>22</f>
        <v>22</v>
      </c>
    </row>
    <row r="113" spans="1:24" x14ac:dyDescent="0.15">
      <c r="A113" s="25" t="s">
        <v>1057</v>
      </c>
      <c r="B113" s="25" t="s">
        <v>379</v>
      </c>
      <c r="C113" s="25" t="s">
        <v>380</v>
      </c>
      <c r="D113" s="25" t="s">
        <v>381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2285</f>
        <v>2285</v>
      </c>
      <c r="L113" s="32" t="s">
        <v>904</v>
      </c>
      <c r="M113" s="31">
        <f>2287</f>
        <v>2287</v>
      </c>
      <c r="N113" s="32" t="s">
        <v>904</v>
      </c>
      <c r="O113" s="31">
        <f>2089</f>
        <v>2089</v>
      </c>
      <c r="P113" s="32" t="s">
        <v>936</v>
      </c>
      <c r="Q113" s="31">
        <f>2101</f>
        <v>2101</v>
      </c>
      <c r="R113" s="32" t="s">
        <v>934</v>
      </c>
      <c r="S113" s="33">
        <f>2187.64</f>
        <v>2187.64</v>
      </c>
      <c r="T113" s="30">
        <f>101246</f>
        <v>101246</v>
      </c>
      <c r="U113" s="30" t="str">
        <f>"－"</f>
        <v>－</v>
      </c>
      <c r="V113" s="30">
        <f>218195388</f>
        <v>218195388</v>
      </c>
      <c r="W113" s="30" t="str">
        <f>"－"</f>
        <v>－</v>
      </c>
      <c r="X113" s="34">
        <f>22</f>
        <v>22</v>
      </c>
    </row>
    <row r="114" spans="1:24" x14ac:dyDescent="0.15">
      <c r="A114" s="25" t="s">
        <v>1057</v>
      </c>
      <c r="B114" s="25" t="s">
        <v>382</v>
      </c>
      <c r="C114" s="25" t="s">
        <v>383</v>
      </c>
      <c r="D114" s="25" t="s">
        <v>384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16225</f>
        <v>16225</v>
      </c>
      <c r="L114" s="32" t="s">
        <v>904</v>
      </c>
      <c r="M114" s="31">
        <f>16235</f>
        <v>16235</v>
      </c>
      <c r="N114" s="32" t="s">
        <v>904</v>
      </c>
      <c r="O114" s="31">
        <f>13495</f>
        <v>13495</v>
      </c>
      <c r="P114" s="32" t="s">
        <v>936</v>
      </c>
      <c r="Q114" s="31">
        <f>13640</f>
        <v>13640</v>
      </c>
      <c r="R114" s="32" t="s">
        <v>934</v>
      </c>
      <c r="S114" s="33">
        <f>14836.59</f>
        <v>14836.59</v>
      </c>
      <c r="T114" s="30">
        <f>18204820</f>
        <v>18204820</v>
      </c>
      <c r="U114" s="30">
        <f>25090</f>
        <v>25090</v>
      </c>
      <c r="V114" s="30">
        <f>270640699300</f>
        <v>270640699300</v>
      </c>
      <c r="W114" s="30">
        <f>360600000</f>
        <v>360600000</v>
      </c>
      <c r="X114" s="34">
        <f>22</f>
        <v>22</v>
      </c>
    </row>
    <row r="115" spans="1:24" x14ac:dyDescent="0.15">
      <c r="A115" s="25" t="s">
        <v>1057</v>
      </c>
      <c r="B115" s="25" t="s">
        <v>385</v>
      </c>
      <c r="C115" s="25" t="s">
        <v>386</v>
      </c>
      <c r="D115" s="25" t="s">
        <v>387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2464</f>
        <v>2464</v>
      </c>
      <c r="L115" s="32" t="s">
        <v>904</v>
      </c>
      <c r="M115" s="31">
        <f>2690</f>
        <v>2690</v>
      </c>
      <c r="N115" s="32" t="s">
        <v>936</v>
      </c>
      <c r="O115" s="31">
        <f>2461.5</f>
        <v>2461.5</v>
      </c>
      <c r="P115" s="32" t="s">
        <v>904</v>
      </c>
      <c r="Q115" s="31">
        <f>2674</f>
        <v>2674</v>
      </c>
      <c r="R115" s="32" t="s">
        <v>934</v>
      </c>
      <c r="S115" s="33">
        <f>2573.59</f>
        <v>2573.59</v>
      </c>
      <c r="T115" s="30">
        <f>1175170</f>
        <v>1175170</v>
      </c>
      <c r="U115" s="30" t="str">
        <f t="shared" ref="U115:U120" si="3">"－"</f>
        <v>－</v>
      </c>
      <c r="V115" s="30">
        <f>3046978230</f>
        <v>3046978230</v>
      </c>
      <c r="W115" s="30" t="str">
        <f t="shared" ref="W115:W120" si="4">"－"</f>
        <v>－</v>
      </c>
      <c r="X115" s="34">
        <f>22</f>
        <v>22</v>
      </c>
    </row>
    <row r="116" spans="1:24" x14ac:dyDescent="0.15">
      <c r="A116" s="25" t="s">
        <v>1057</v>
      </c>
      <c r="B116" s="25" t="s">
        <v>388</v>
      </c>
      <c r="C116" s="25" t="s">
        <v>389</v>
      </c>
      <c r="D116" s="25" t="s">
        <v>390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960</f>
        <v>960</v>
      </c>
      <c r="L116" s="32" t="s">
        <v>904</v>
      </c>
      <c r="M116" s="31">
        <f>980</f>
        <v>980</v>
      </c>
      <c r="N116" s="32" t="s">
        <v>904</v>
      </c>
      <c r="O116" s="31">
        <f>744</f>
        <v>744</v>
      </c>
      <c r="P116" s="32" t="s">
        <v>266</v>
      </c>
      <c r="Q116" s="31">
        <f>791</f>
        <v>791</v>
      </c>
      <c r="R116" s="32" t="s">
        <v>934</v>
      </c>
      <c r="S116" s="33">
        <f>857.21</f>
        <v>857.21</v>
      </c>
      <c r="T116" s="30">
        <f>10340</f>
        <v>10340</v>
      </c>
      <c r="U116" s="30" t="str">
        <f t="shared" si="3"/>
        <v>－</v>
      </c>
      <c r="V116" s="30">
        <f>8329483</f>
        <v>8329483</v>
      </c>
      <c r="W116" s="30" t="str">
        <f t="shared" si="4"/>
        <v>－</v>
      </c>
      <c r="X116" s="34">
        <f>10</f>
        <v>10</v>
      </c>
    </row>
    <row r="117" spans="1:24" x14ac:dyDescent="0.15">
      <c r="A117" s="25" t="s">
        <v>1057</v>
      </c>
      <c r="B117" s="25" t="s">
        <v>391</v>
      </c>
      <c r="C117" s="25" t="s">
        <v>392</v>
      </c>
      <c r="D117" s="25" t="s">
        <v>393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1559</f>
        <v>1559</v>
      </c>
      <c r="L117" s="32" t="s">
        <v>909</v>
      </c>
      <c r="M117" s="31">
        <f>1562</f>
        <v>1562</v>
      </c>
      <c r="N117" s="32" t="s">
        <v>695</v>
      </c>
      <c r="O117" s="31">
        <f>1479</f>
        <v>1479</v>
      </c>
      <c r="P117" s="32" t="s">
        <v>936</v>
      </c>
      <c r="Q117" s="31">
        <f>1479</f>
        <v>1479</v>
      </c>
      <c r="R117" s="32" t="s">
        <v>936</v>
      </c>
      <c r="S117" s="33">
        <f>1535.05</f>
        <v>1535.05</v>
      </c>
      <c r="T117" s="30">
        <f>2090</f>
        <v>2090</v>
      </c>
      <c r="U117" s="30" t="str">
        <f t="shared" si="3"/>
        <v>－</v>
      </c>
      <c r="V117" s="30">
        <f>3202495</f>
        <v>3202495</v>
      </c>
      <c r="W117" s="30" t="str">
        <f t="shared" si="4"/>
        <v>－</v>
      </c>
      <c r="X117" s="34">
        <f>11</f>
        <v>11</v>
      </c>
    </row>
    <row r="118" spans="1:24" x14ac:dyDescent="0.15">
      <c r="A118" s="25" t="s">
        <v>1057</v>
      </c>
      <c r="B118" s="25" t="s">
        <v>394</v>
      </c>
      <c r="C118" s="25" t="s">
        <v>395</v>
      </c>
      <c r="D118" s="25" t="s">
        <v>396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1716</f>
        <v>1716</v>
      </c>
      <c r="L118" s="32" t="s">
        <v>904</v>
      </c>
      <c r="M118" s="31">
        <f>1820</f>
        <v>1820</v>
      </c>
      <c r="N118" s="32" t="s">
        <v>87</v>
      </c>
      <c r="O118" s="31">
        <f>1599</f>
        <v>1599</v>
      </c>
      <c r="P118" s="32" t="s">
        <v>934</v>
      </c>
      <c r="Q118" s="31">
        <f>1613</f>
        <v>1613</v>
      </c>
      <c r="R118" s="32" t="s">
        <v>934</v>
      </c>
      <c r="S118" s="33">
        <f>1664.41</f>
        <v>1664.41</v>
      </c>
      <c r="T118" s="30">
        <f>32557</f>
        <v>32557</v>
      </c>
      <c r="U118" s="30" t="str">
        <f t="shared" si="3"/>
        <v>－</v>
      </c>
      <c r="V118" s="30">
        <f>54273917</f>
        <v>54273917</v>
      </c>
      <c r="W118" s="30" t="str">
        <f t="shared" si="4"/>
        <v>－</v>
      </c>
      <c r="X118" s="34">
        <f>22</f>
        <v>22</v>
      </c>
    </row>
    <row r="119" spans="1:24" x14ac:dyDescent="0.15">
      <c r="A119" s="25" t="s">
        <v>1057</v>
      </c>
      <c r="B119" s="25" t="s">
        <v>397</v>
      </c>
      <c r="C119" s="25" t="s">
        <v>398</v>
      </c>
      <c r="D119" s="25" t="s">
        <v>399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18100</f>
        <v>18100</v>
      </c>
      <c r="L119" s="32" t="s">
        <v>904</v>
      </c>
      <c r="M119" s="31">
        <f>18110</f>
        <v>18110</v>
      </c>
      <c r="N119" s="32" t="s">
        <v>904</v>
      </c>
      <c r="O119" s="31">
        <f>17035</f>
        <v>17035</v>
      </c>
      <c r="P119" s="32" t="s">
        <v>936</v>
      </c>
      <c r="Q119" s="31">
        <f>17150</f>
        <v>17150</v>
      </c>
      <c r="R119" s="32" t="s">
        <v>934</v>
      </c>
      <c r="S119" s="33">
        <f>17527.5</f>
        <v>17527.5</v>
      </c>
      <c r="T119" s="30">
        <f>29544</f>
        <v>29544</v>
      </c>
      <c r="U119" s="30" t="str">
        <f t="shared" si="3"/>
        <v>－</v>
      </c>
      <c r="V119" s="30">
        <f>516323070</f>
        <v>516323070</v>
      </c>
      <c r="W119" s="30" t="str">
        <f t="shared" si="4"/>
        <v>－</v>
      </c>
      <c r="X119" s="34">
        <f>22</f>
        <v>22</v>
      </c>
    </row>
    <row r="120" spans="1:24" x14ac:dyDescent="0.15">
      <c r="A120" s="25" t="s">
        <v>1057</v>
      </c>
      <c r="B120" s="25" t="s">
        <v>400</v>
      </c>
      <c r="C120" s="25" t="s">
        <v>401</v>
      </c>
      <c r="D120" s="25" t="s">
        <v>402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1670</f>
        <v>1670</v>
      </c>
      <c r="L120" s="32" t="s">
        <v>904</v>
      </c>
      <c r="M120" s="31">
        <f>1671</f>
        <v>1671</v>
      </c>
      <c r="N120" s="32" t="s">
        <v>904</v>
      </c>
      <c r="O120" s="31">
        <f>1575</f>
        <v>1575</v>
      </c>
      <c r="P120" s="32" t="s">
        <v>936</v>
      </c>
      <c r="Q120" s="31">
        <f>1583</f>
        <v>1583</v>
      </c>
      <c r="R120" s="32" t="s">
        <v>934</v>
      </c>
      <c r="S120" s="33">
        <f>1617.5</f>
        <v>1617.5</v>
      </c>
      <c r="T120" s="30">
        <f>51546</f>
        <v>51546</v>
      </c>
      <c r="U120" s="30" t="str">
        <f t="shared" si="3"/>
        <v>－</v>
      </c>
      <c r="V120" s="30">
        <f>83005239</f>
        <v>83005239</v>
      </c>
      <c r="W120" s="30" t="str">
        <f t="shared" si="4"/>
        <v>－</v>
      </c>
      <c r="X120" s="34">
        <f>22</f>
        <v>22</v>
      </c>
    </row>
    <row r="121" spans="1:24" x14ac:dyDescent="0.15">
      <c r="A121" s="25" t="s">
        <v>1057</v>
      </c>
      <c r="B121" s="25" t="s">
        <v>403</v>
      </c>
      <c r="C121" s="25" t="s">
        <v>404</v>
      </c>
      <c r="D121" s="25" t="s">
        <v>405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18500</f>
        <v>18500</v>
      </c>
      <c r="L121" s="32" t="s">
        <v>904</v>
      </c>
      <c r="M121" s="31">
        <f>18650</f>
        <v>18650</v>
      </c>
      <c r="N121" s="32" t="s">
        <v>904</v>
      </c>
      <c r="O121" s="31">
        <f>17590</f>
        <v>17590</v>
      </c>
      <c r="P121" s="32" t="s">
        <v>936</v>
      </c>
      <c r="Q121" s="31">
        <f>17655</f>
        <v>17655</v>
      </c>
      <c r="R121" s="32" t="s">
        <v>934</v>
      </c>
      <c r="S121" s="33">
        <f>18075.91</f>
        <v>18075.91</v>
      </c>
      <c r="T121" s="30">
        <f>26671</f>
        <v>26671</v>
      </c>
      <c r="U121" s="30">
        <f>16000</f>
        <v>16000</v>
      </c>
      <c r="V121" s="30">
        <f>483117215</f>
        <v>483117215</v>
      </c>
      <c r="W121" s="30">
        <f>291201540</f>
        <v>291201540</v>
      </c>
      <c r="X121" s="34">
        <f>22</f>
        <v>22</v>
      </c>
    </row>
    <row r="122" spans="1:24" x14ac:dyDescent="0.15">
      <c r="A122" s="25" t="s">
        <v>1057</v>
      </c>
      <c r="B122" s="25" t="s">
        <v>406</v>
      </c>
      <c r="C122" s="25" t="s">
        <v>407</v>
      </c>
      <c r="D122" s="25" t="s">
        <v>408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10</v>
      </c>
      <c r="K122" s="31">
        <f>2013.5</f>
        <v>2013.5</v>
      </c>
      <c r="L122" s="32" t="s">
        <v>904</v>
      </c>
      <c r="M122" s="31">
        <f>2017</f>
        <v>2017</v>
      </c>
      <c r="N122" s="32" t="s">
        <v>909</v>
      </c>
      <c r="O122" s="31">
        <f>1860</f>
        <v>1860</v>
      </c>
      <c r="P122" s="32" t="s">
        <v>87</v>
      </c>
      <c r="Q122" s="31">
        <f>1940.5</f>
        <v>1940.5</v>
      </c>
      <c r="R122" s="32" t="s">
        <v>934</v>
      </c>
      <c r="S122" s="33">
        <f>1953.93</f>
        <v>1953.93</v>
      </c>
      <c r="T122" s="30">
        <f>2682260</f>
        <v>2682260</v>
      </c>
      <c r="U122" s="30">
        <f>1833360</f>
        <v>1833360</v>
      </c>
      <c r="V122" s="30">
        <f>5152702270</f>
        <v>5152702270</v>
      </c>
      <c r="W122" s="30">
        <f>3499478575</f>
        <v>3499478575</v>
      </c>
      <c r="X122" s="34">
        <f>22</f>
        <v>22</v>
      </c>
    </row>
    <row r="123" spans="1:24" x14ac:dyDescent="0.15">
      <c r="A123" s="25" t="s">
        <v>1057</v>
      </c>
      <c r="B123" s="25" t="s">
        <v>409</v>
      </c>
      <c r="C123" s="25" t="s">
        <v>410</v>
      </c>
      <c r="D123" s="25" t="s">
        <v>411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1746</f>
        <v>1746</v>
      </c>
      <c r="L123" s="32" t="s">
        <v>904</v>
      </c>
      <c r="M123" s="31">
        <f>1746</f>
        <v>1746</v>
      </c>
      <c r="N123" s="32" t="s">
        <v>904</v>
      </c>
      <c r="O123" s="31">
        <f>1626</f>
        <v>1626</v>
      </c>
      <c r="P123" s="32" t="s">
        <v>935</v>
      </c>
      <c r="Q123" s="31">
        <f>1626</f>
        <v>1626</v>
      </c>
      <c r="R123" s="32" t="s">
        <v>935</v>
      </c>
      <c r="S123" s="33">
        <f>1669.29</f>
        <v>1669.29</v>
      </c>
      <c r="T123" s="30">
        <f>100</f>
        <v>100</v>
      </c>
      <c r="U123" s="30" t="str">
        <f>"－"</f>
        <v>－</v>
      </c>
      <c r="V123" s="30">
        <f>167120</f>
        <v>167120</v>
      </c>
      <c r="W123" s="30" t="str">
        <f>"－"</f>
        <v>－</v>
      </c>
      <c r="X123" s="34">
        <f>7</f>
        <v>7</v>
      </c>
    </row>
    <row r="124" spans="1:24" x14ac:dyDescent="0.15">
      <c r="A124" s="25" t="s">
        <v>1057</v>
      </c>
      <c r="B124" s="25" t="s">
        <v>412</v>
      </c>
      <c r="C124" s="25" t="s">
        <v>413</v>
      </c>
      <c r="D124" s="25" t="s">
        <v>414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2031</f>
        <v>2031</v>
      </c>
      <c r="L124" s="32" t="s">
        <v>904</v>
      </c>
      <c r="M124" s="31">
        <f>2033</f>
        <v>2033</v>
      </c>
      <c r="N124" s="32" t="s">
        <v>904</v>
      </c>
      <c r="O124" s="31">
        <f>1865.5</f>
        <v>1865.5</v>
      </c>
      <c r="P124" s="32" t="s">
        <v>87</v>
      </c>
      <c r="Q124" s="31">
        <f>1944</f>
        <v>1944</v>
      </c>
      <c r="R124" s="32" t="s">
        <v>934</v>
      </c>
      <c r="S124" s="33">
        <f>1967.82</f>
        <v>1967.82</v>
      </c>
      <c r="T124" s="30">
        <f>1947600</f>
        <v>1947600</v>
      </c>
      <c r="U124" s="30">
        <f>893710</f>
        <v>893710</v>
      </c>
      <c r="V124" s="30">
        <f>3829234426</f>
        <v>3829234426</v>
      </c>
      <c r="W124" s="30">
        <f>1740130351</f>
        <v>1740130351</v>
      </c>
      <c r="X124" s="34">
        <f>22</f>
        <v>22</v>
      </c>
    </row>
    <row r="125" spans="1:24" x14ac:dyDescent="0.15">
      <c r="A125" s="25" t="s">
        <v>1057</v>
      </c>
      <c r="B125" s="25" t="s">
        <v>415</v>
      </c>
      <c r="C125" s="25" t="s">
        <v>416</v>
      </c>
      <c r="D125" s="25" t="s">
        <v>417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18380</f>
        <v>18380</v>
      </c>
      <c r="L125" s="32" t="s">
        <v>904</v>
      </c>
      <c r="M125" s="31">
        <f>18435</f>
        <v>18435</v>
      </c>
      <c r="N125" s="32" t="s">
        <v>909</v>
      </c>
      <c r="O125" s="31">
        <f>17520</f>
        <v>17520</v>
      </c>
      <c r="P125" s="32" t="s">
        <v>87</v>
      </c>
      <c r="Q125" s="31">
        <f>17550</f>
        <v>17550</v>
      </c>
      <c r="R125" s="32" t="s">
        <v>934</v>
      </c>
      <c r="S125" s="33">
        <f>17948.13</f>
        <v>17948.13</v>
      </c>
      <c r="T125" s="30">
        <f>96780</f>
        <v>96780</v>
      </c>
      <c r="U125" s="30">
        <f>92500</f>
        <v>92500</v>
      </c>
      <c r="V125" s="30">
        <f>1769645450</f>
        <v>1769645450</v>
      </c>
      <c r="W125" s="30">
        <f>1692175550</f>
        <v>1692175550</v>
      </c>
      <c r="X125" s="34">
        <f>16</f>
        <v>16</v>
      </c>
    </row>
    <row r="126" spans="1:24" x14ac:dyDescent="0.15">
      <c r="A126" s="25" t="s">
        <v>1057</v>
      </c>
      <c r="B126" s="25" t="s">
        <v>418</v>
      </c>
      <c r="C126" s="25" t="s">
        <v>419</v>
      </c>
      <c r="D126" s="25" t="s">
        <v>420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100</v>
      </c>
      <c r="K126" s="31">
        <f>181.9</f>
        <v>181.9</v>
      </c>
      <c r="L126" s="32" t="s">
        <v>904</v>
      </c>
      <c r="M126" s="31">
        <f>211.2</f>
        <v>211.2</v>
      </c>
      <c r="N126" s="32" t="s">
        <v>94</v>
      </c>
      <c r="O126" s="31">
        <f>174.1</f>
        <v>174.1</v>
      </c>
      <c r="P126" s="32" t="s">
        <v>810</v>
      </c>
      <c r="Q126" s="31">
        <f>202.7</f>
        <v>202.7</v>
      </c>
      <c r="R126" s="32" t="s">
        <v>934</v>
      </c>
      <c r="S126" s="33">
        <f>187.75</f>
        <v>187.75</v>
      </c>
      <c r="T126" s="30">
        <f>119063300</f>
        <v>119063300</v>
      </c>
      <c r="U126" s="30">
        <f>675000</f>
        <v>675000</v>
      </c>
      <c r="V126" s="30">
        <f>23670619752</f>
        <v>23670619752</v>
      </c>
      <c r="W126" s="30">
        <f>138176292</f>
        <v>138176292</v>
      </c>
      <c r="X126" s="34">
        <f>22</f>
        <v>22</v>
      </c>
    </row>
    <row r="127" spans="1:24" x14ac:dyDescent="0.15">
      <c r="A127" s="25" t="s">
        <v>1057</v>
      </c>
      <c r="B127" s="25" t="s">
        <v>421</v>
      </c>
      <c r="C127" s="25" t="s">
        <v>422</v>
      </c>
      <c r="D127" s="25" t="s">
        <v>423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30090</f>
        <v>30090</v>
      </c>
      <c r="L127" s="32" t="s">
        <v>904</v>
      </c>
      <c r="M127" s="31">
        <f>30200</f>
        <v>30200</v>
      </c>
      <c r="N127" s="32" t="s">
        <v>915</v>
      </c>
      <c r="O127" s="31">
        <f>29220</f>
        <v>29220</v>
      </c>
      <c r="P127" s="32" t="s">
        <v>934</v>
      </c>
      <c r="Q127" s="31">
        <f>29275</f>
        <v>29275</v>
      </c>
      <c r="R127" s="32" t="s">
        <v>934</v>
      </c>
      <c r="S127" s="33">
        <f>29805.45</f>
        <v>29805.45</v>
      </c>
      <c r="T127" s="30">
        <f>7257</f>
        <v>7257</v>
      </c>
      <c r="U127" s="30" t="str">
        <f>"－"</f>
        <v>－</v>
      </c>
      <c r="V127" s="30">
        <f>215858930</f>
        <v>215858930</v>
      </c>
      <c r="W127" s="30" t="str">
        <f>"－"</f>
        <v>－</v>
      </c>
      <c r="X127" s="34">
        <f>22</f>
        <v>22</v>
      </c>
    </row>
    <row r="128" spans="1:24" x14ac:dyDescent="0.15">
      <c r="A128" s="25" t="s">
        <v>1057</v>
      </c>
      <c r="B128" s="25" t="s">
        <v>424</v>
      </c>
      <c r="C128" s="25" t="s">
        <v>425</v>
      </c>
      <c r="D128" s="25" t="s">
        <v>426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13535</f>
        <v>13535</v>
      </c>
      <c r="L128" s="32" t="s">
        <v>904</v>
      </c>
      <c r="M128" s="31">
        <f>13640</f>
        <v>13640</v>
      </c>
      <c r="N128" s="32" t="s">
        <v>909</v>
      </c>
      <c r="O128" s="31">
        <f>12590</f>
        <v>12590</v>
      </c>
      <c r="P128" s="32" t="s">
        <v>66</v>
      </c>
      <c r="Q128" s="31">
        <f>12790</f>
        <v>12790</v>
      </c>
      <c r="R128" s="32" t="s">
        <v>934</v>
      </c>
      <c r="S128" s="33">
        <f>12961.82</f>
        <v>12961.82</v>
      </c>
      <c r="T128" s="30">
        <f>5786</f>
        <v>5786</v>
      </c>
      <c r="U128" s="30">
        <f>5</f>
        <v>5</v>
      </c>
      <c r="V128" s="30">
        <f>74965645</f>
        <v>74965645</v>
      </c>
      <c r="W128" s="30">
        <f>59850</f>
        <v>59850</v>
      </c>
      <c r="X128" s="34">
        <f>22</f>
        <v>22</v>
      </c>
    </row>
    <row r="129" spans="1:24" x14ac:dyDescent="0.15">
      <c r="A129" s="25" t="s">
        <v>1057</v>
      </c>
      <c r="B129" s="25" t="s">
        <v>427</v>
      </c>
      <c r="C129" s="25" t="s">
        <v>428</v>
      </c>
      <c r="D129" s="25" t="s">
        <v>429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21695</f>
        <v>21695</v>
      </c>
      <c r="L129" s="32" t="s">
        <v>904</v>
      </c>
      <c r="M129" s="31">
        <f>21695</f>
        <v>21695</v>
      </c>
      <c r="N129" s="32" t="s">
        <v>904</v>
      </c>
      <c r="O129" s="31">
        <f>20500</f>
        <v>20500</v>
      </c>
      <c r="P129" s="32" t="s">
        <v>812</v>
      </c>
      <c r="Q129" s="31">
        <f>20795</f>
        <v>20795</v>
      </c>
      <c r="R129" s="32" t="s">
        <v>934</v>
      </c>
      <c r="S129" s="33">
        <f>21039.75</f>
        <v>21039.75</v>
      </c>
      <c r="T129" s="30">
        <f>2823</f>
        <v>2823</v>
      </c>
      <c r="U129" s="30" t="str">
        <f t="shared" ref="U129:U136" si="5">"－"</f>
        <v>－</v>
      </c>
      <c r="V129" s="30">
        <f>59518380</f>
        <v>59518380</v>
      </c>
      <c r="W129" s="30" t="str">
        <f t="shared" ref="W129:W136" si="6">"－"</f>
        <v>－</v>
      </c>
      <c r="X129" s="34">
        <f>20</f>
        <v>20</v>
      </c>
    </row>
    <row r="130" spans="1:24" x14ac:dyDescent="0.15">
      <c r="A130" s="25" t="s">
        <v>1057</v>
      </c>
      <c r="B130" s="25" t="s">
        <v>430</v>
      </c>
      <c r="C130" s="25" t="s">
        <v>431</v>
      </c>
      <c r="D130" s="25" t="s">
        <v>432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25040</f>
        <v>25040</v>
      </c>
      <c r="L130" s="32" t="s">
        <v>904</v>
      </c>
      <c r="M130" s="31">
        <f>25050</f>
        <v>25050</v>
      </c>
      <c r="N130" s="32" t="s">
        <v>904</v>
      </c>
      <c r="O130" s="31">
        <f>23660</f>
        <v>23660</v>
      </c>
      <c r="P130" s="32" t="s">
        <v>935</v>
      </c>
      <c r="Q130" s="31">
        <f>23880</f>
        <v>23880</v>
      </c>
      <c r="R130" s="32" t="s">
        <v>934</v>
      </c>
      <c r="S130" s="33">
        <f>24362.5</f>
        <v>24362.5</v>
      </c>
      <c r="T130" s="30">
        <f>4237</f>
        <v>4237</v>
      </c>
      <c r="U130" s="30" t="str">
        <f t="shared" si="5"/>
        <v>－</v>
      </c>
      <c r="V130" s="30">
        <f>103617930</f>
        <v>103617930</v>
      </c>
      <c r="W130" s="30" t="str">
        <f t="shared" si="6"/>
        <v>－</v>
      </c>
      <c r="X130" s="34">
        <f>22</f>
        <v>22</v>
      </c>
    </row>
    <row r="131" spans="1:24" x14ac:dyDescent="0.15">
      <c r="A131" s="25" t="s">
        <v>1057</v>
      </c>
      <c r="B131" s="25" t="s">
        <v>433</v>
      </c>
      <c r="C131" s="25" t="s">
        <v>434</v>
      </c>
      <c r="D131" s="25" t="s">
        <v>435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26875</f>
        <v>26875</v>
      </c>
      <c r="L131" s="32" t="s">
        <v>904</v>
      </c>
      <c r="M131" s="31">
        <f>27110</f>
        <v>27110</v>
      </c>
      <c r="N131" s="32" t="s">
        <v>915</v>
      </c>
      <c r="O131" s="31">
        <f>24970</f>
        <v>24970</v>
      </c>
      <c r="P131" s="32" t="s">
        <v>87</v>
      </c>
      <c r="Q131" s="31">
        <f>25685</f>
        <v>25685</v>
      </c>
      <c r="R131" s="32" t="s">
        <v>934</v>
      </c>
      <c r="S131" s="33">
        <f>26232.95</f>
        <v>26232.95</v>
      </c>
      <c r="T131" s="30">
        <f>5903</f>
        <v>5903</v>
      </c>
      <c r="U131" s="30" t="str">
        <f t="shared" si="5"/>
        <v>－</v>
      </c>
      <c r="V131" s="30">
        <f>154806300</f>
        <v>154806300</v>
      </c>
      <c r="W131" s="30" t="str">
        <f t="shared" si="6"/>
        <v>－</v>
      </c>
      <c r="X131" s="34">
        <f>22</f>
        <v>22</v>
      </c>
    </row>
    <row r="132" spans="1:24" x14ac:dyDescent="0.15">
      <c r="A132" s="25" t="s">
        <v>1057</v>
      </c>
      <c r="B132" s="25" t="s">
        <v>436</v>
      </c>
      <c r="C132" s="25" t="s">
        <v>437</v>
      </c>
      <c r="D132" s="25" t="s">
        <v>438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24005</f>
        <v>24005</v>
      </c>
      <c r="L132" s="32" t="s">
        <v>904</v>
      </c>
      <c r="M132" s="31">
        <f>24005</f>
        <v>24005</v>
      </c>
      <c r="N132" s="32" t="s">
        <v>904</v>
      </c>
      <c r="O132" s="31">
        <f>21320</f>
        <v>21320</v>
      </c>
      <c r="P132" s="32" t="s">
        <v>66</v>
      </c>
      <c r="Q132" s="31">
        <f>21475</f>
        <v>21475</v>
      </c>
      <c r="R132" s="32" t="s">
        <v>934</v>
      </c>
      <c r="S132" s="33">
        <f>22540.68</f>
        <v>22540.68</v>
      </c>
      <c r="T132" s="30">
        <f>3392</f>
        <v>3392</v>
      </c>
      <c r="U132" s="30" t="str">
        <f t="shared" si="5"/>
        <v>－</v>
      </c>
      <c r="V132" s="30">
        <f>76215695</f>
        <v>76215695</v>
      </c>
      <c r="W132" s="30" t="str">
        <f t="shared" si="6"/>
        <v>－</v>
      </c>
      <c r="X132" s="34">
        <f>22</f>
        <v>22</v>
      </c>
    </row>
    <row r="133" spans="1:24" x14ac:dyDescent="0.15">
      <c r="A133" s="25" t="s">
        <v>1057</v>
      </c>
      <c r="B133" s="25" t="s">
        <v>439</v>
      </c>
      <c r="C133" s="25" t="s">
        <v>440</v>
      </c>
      <c r="D133" s="25" t="s">
        <v>441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17770</f>
        <v>17770</v>
      </c>
      <c r="L133" s="32" t="s">
        <v>904</v>
      </c>
      <c r="M133" s="31">
        <f>18205</f>
        <v>18205</v>
      </c>
      <c r="N133" s="32" t="s">
        <v>915</v>
      </c>
      <c r="O133" s="31">
        <f>17125</f>
        <v>17125</v>
      </c>
      <c r="P133" s="32" t="s">
        <v>935</v>
      </c>
      <c r="Q133" s="31">
        <f>17505</f>
        <v>17505</v>
      </c>
      <c r="R133" s="32" t="s">
        <v>934</v>
      </c>
      <c r="S133" s="33">
        <f>17650</f>
        <v>17650</v>
      </c>
      <c r="T133" s="30">
        <f>3189</f>
        <v>3189</v>
      </c>
      <c r="U133" s="30" t="str">
        <f t="shared" si="5"/>
        <v>－</v>
      </c>
      <c r="V133" s="30">
        <f>56468290</f>
        <v>56468290</v>
      </c>
      <c r="W133" s="30" t="str">
        <f t="shared" si="6"/>
        <v>－</v>
      </c>
      <c r="X133" s="34">
        <f>22</f>
        <v>22</v>
      </c>
    </row>
    <row r="134" spans="1:24" x14ac:dyDescent="0.15">
      <c r="A134" s="25" t="s">
        <v>1057</v>
      </c>
      <c r="B134" s="25" t="s">
        <v>442</v>
      </c>
      <c r="C134" s="25" t="s">
        <v>443</v>
      </c>
      <c r="D134" s="25" t="s">
        <v>444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39650</f>
        <v>39650</v>
      </c>
      <c r="L134" s="32" t="s">
        <v>904</v>
      </c>
      <c r="M134" s="31">
        <f>39650</f>
        <v>39650</v>
      </c>
      <c r="N134" s="32" t="s">
        <v>904</v>
      </c>
      <c r="O134" s="31">
        <f>36290</f>
        <v>36290</v>
      </c>
      <c r="P134" s="32" t="s">
        <v>936</v>
      </c>
      <c r="Q134" s="31">
        <f>36550</f>
        <v>36550</v>
      </c>
      <c r="R134" s="32" t="s">
        <v>934</v>
      </c>
      <c r="S134" s="33">
        <f>37974.55</f>
        <v>37974.550000000003</v>
      </c>
      <c r="T134" s="30">
        <f>2736</f>
        <v>2736</v>
      </c>
      <c r="U134" s="30" t="str">
        <f t="shared" si="5"/>
        <v>－</v>
      </c>
      <c r="V134" s="30">
        <f>102597330</f>
        <v>102597330</v>
      </c>
      <c r="W134" s="30" t="str">
        <f t="shared" si="6"/>
        <v>－</v>
      </c>
      <c r="X134" s="34">
        <f>22</f>
        <v>22</v>
      </c>
    </row>
    <row r="135" spans="1:24" x14ac:dyDescent="0.15">
      <c r="A135" s="25" t="s">
        <v>1057</v>
      </c>
      <c r="B135" s="25" t="s">
        <v>445</v>
      </c>
      <c r="C135" s="25" t="s">
        <v>446</v>
      </c>
      <c r="D135" s="25" t="s">
        <v>447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28000</f>
        <v>28000</v>
      </c>
      <c r="L135" s="32" t="s">
        <v>904</v>
      </c>
      <c r="M135" s="31">
        <f>28000</f>
        <v>28000</v>
      </c>
      <c r="N135" s="32" t="s">
        <v>904</v>
      </c>
      <c r="O135" s="31">
        <f>24690</f>
        <v>24690</v>
      </c>
      <c r="P135" s="32" t="s">
        <v>936</v>
      </c>
      <c r="Q135" s="31">
        <f>24895</f>
        <v>24895</v>
      </c>
      <c r="R135" s="32" t="s">
        <v>934</v>
      </c>
      <c r="S135" s="33">
        <f>26310.68</f>
        <v>26310.68</v>
      </c>
      <c r="T135" s="30">
        <f>6690</f>
        <v>6690</v>
      </c>
      <c r="U135" s="30" t="str">
        <f t="shared" si="5"/>
        <v>－</v>
      </c>
      <c r="V135" s="30">
        <f>173511120</f>
        <v>173511120</v>
      </c>
      <c r="W135" s="30" t="str">
        <f t="shared" si="6"/>
        <v>－</v>
      </c>
      <c r="X135" s="34">
        <f>22</f>
        <v>22</v>
      </c>
    </row>
    <row r="136" spans="1:24" x14ac:dyDescent="0.15">
      <c r="A136" s="25" t="s">
        <v>1057</v>
      </c>
      <c r="B136" s="25" t="s">
        <v>448</v>
      </c>
      <c r="C136" s="25" t="s">
        <v>449</v>
      </c>
      <c r="D136" s="25" t="s">
        <v>450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28610</f>
        <v>28610</v>
      </c>
      <c r="L136" s="32" t="s">
        <v>904</v>
      </c>
      <c r="M136" s="31">
        <f>28610</f>
        <v>28610</v>
      </c>
      <c r="N136" s="32" t="s">
        <v>904</v>
      </c>
      <c r="O136" s="31">
        <f>26775</f>
        <v>26775</v>
      </c>
      <c r="P136" s="32" t="s">
        <v>66</v>
      </c>
      <c r="Q136" s="31">
        <f>27165</f>
        <v>27165</v>
      </c>
      <c r="R136" s="32" t="s">
        <v>934</v>
      </c>
      <c r="S136" s="33">
        <f>27603.64</f>
        <v>27603.64</v>
      </c>
      <c r="T136" s="30">
        <f>3150</f>
        <v>3150</v>
      </c>
      <c r="U136" s="30" t="str">
        <f t="shared" si="5"/>
        <v>－</v>
      </c>
      <c r="V136" s="30">
        <f>85648665</f>
        <v>85648665</v>
      </c>
      <c r="W136" s="30" t="str">
        <f t="shared" si="6"/>
        <v>－</v>
      </c>
      <c r="X136" s="34">
        <f>22</f>
        <v>22</v>
      </c>
    </row>
    <row r="137" spans="1:24" x14ac:dyDescent="0.15">
      <c r="A137" s="25" t="s">
        <v>1057</v>
      </c>
      <c r="B137" s="25" t="s">
        <v>451</v>
      </c>
      <c r="C137" s="25" t="s">
        <v>452</v>
      </c>
      <c r="D137" s="25" t="s">
        <v>453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6021</f>
        <v>6021</v>
      </c>
      <c r="L137" s="32" t="s">
        <v>904</v>
      </c>
      <c r="M137" s="31">
        <f>6151</f>
        <v>6151</v>
      </c>
      <c r="N137" s="32" t="s">
        <v>935</v>
      </c>
      <c r="O137" s="31">
        <f>5740</f>
        <v>5740</v>
      </c>
      <c r="P137" s="32" t="s">
        <v>810</v>
      </c>
      <c r="Q137" s="31">
        <f>6087</f>
        <v>6087</v>
      </c>
      <c r="R137" s="32" t="s">
        <v>934</v>
      </c>
      <c r="S137" s="33">
        <f>5972.5</f>
        <v>5972.5</v>
      </c>
      <c r="T137" s="30">
        <f>41415</f>
        <v>41415</v>
      </c>
      <c r="U137" s="30">
        <f>20000</f>
        <v>20000</v>
      </c>
      <c r="V137" s="30">
        <f>244661216</f>
        <v>244661216</v>
      </c>
      <c r="W137" s="30">
        <f>117611000</f>
        <v>117611000</v>
      </c>
      <c r="X137" s="34">
        <f>22</f>
        <v>22</v>
      </c>
    </row>
    <row r="138" spans="1:24" x14ac:dyDescent="0.15">
      <c r="A138" s="25" t="s">
        <v>1057</v>
      </c>
      <c r="B138" s="25" t="s">
        <v>454</v>
      </c>
      <c r="C138" s="25" t="s">
        <v>455</v>
      </c>
      <c r="D138" s="25" t="s">
        <v>456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16525</f>
        <v>16525</v>
      </c>
      <c r="L138" s="32" t="s">
        <v>904</v>
      </c>
      <c r="M138" s="31">
        <f>16550</f>
        <v>16550</v>
      </c>
      <c r="N138" s="32" t="s">
        <v>904</v>
      </c>
      <c r="O138" s="31">
        <f>15770</f>
        <v>15770</v>
      </c>
      <c r="P138" s="32" t="s">
        <v>66</v>
      </c>
      <c r="Q138" s="31">
        <f>15930</f>
        <v>15930</v>
      </c>
      <c r="R138" s="32" t="s">
        <v>934</v>
      </c>
      <c r="S138" s="33">
        <f>16119.32</f>
        <v>16119.32</v>
      </c>
      <c r="T138" s="30">
        <f>10651</f>
        <v>10651</v>
      </c>
      <c r="U138" s="30">
        <f>1</f>
        <v>1</v>
      </c>
      <c r="V138" s="30">
        <f>172199385</f>
        <v>172199385</v>
      </c>
      <c r="W138" s="30">
        <f>16270</f>
        <v>16270</v>
      </c>
      <c r="X138" s="34">
        <f>22</f>
        <v>22</v>
      </c>
    </row>
    <row r="139" spans="1:24" x14ac:dyDescent="0.15">
      <c r="A139" s="25" t="s">
        <v>1057</v>
      </c>
      <c r="B139" s="25" t="s">
        <v>457</v>
      </c>
      <c r="C139" s="25" t="s">
        <v>458</v>
      </c>
      <c r="D139" s="25" t="s">
        <v>459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51750</f>
        <v>51750</v>
      </c>
      <c r="L139" s="32" t="s">
        <v>904</v>
      </c>
      <c r="M139" s="31">
        <f>52150</f>
        <v>52150</v>
      </c>
      <c r="N139" s="32" t="s">
        <v>915</v>
      </c>
      <c r="O139" s="31">
        <f>49570</f>
        <v>49570</v>
      </c>
      <c r="P139" s="32" t="s">
        <v>936</v>
      </c>
      <c r="Q139" s="31">
        <f>50150</f>
        <v>50150</v>
      </c>
      <c r="R139" s="32" t="s">
        <v>934</v>
      </c>
      <c r="S139" s="33">
        <f>50768.18</f>
        <v>50768.18</v>
      </c>
      <c r="T139" s="30">
        <f>8167</f>
        <v>8167</v>
      </c>
      <c r="U139" s="30">
        <f>10</f>
        <v>10</v>
      </c>
      <c r="V139" s="30">
        <f>414160690</f>
        <v>414160690</v>
      </c>
      <c r="W139" s="30">
        <f>505920</f>
        <v>505920</v>
      </c>
      <c r="X139" s="34">
        <f>22</f>
        <v>22</v>
      </c>
    </row>
    <row r="140" spans="1:24" x14ac:dyDescent="0.15">
      <c r="A140" s="25" t="s">
        <v>1057</v>
      </c>
      <c r="B140" s="25" t="s">
        <v>460</v>
      </c>
      <c r="C140" s="25" t="s">
        <v>461</v>
      </c>
      <c r="D140" s="25" t="s">
        <v>462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23015</f>
        <v>23015</v>
      </c>
      <c r="L140" s="32" t="s">
        <v>904</v>
      </c>
      <c r="M140" s="31">
        <f>23500</f>
        <v>23500</v>
      </c>
      <c r="N140" s="32" t="s">
        <v>94</v>
      </c>
      <c r="O140" s="31">
        <f>22340</f>
        <v>22340</v>
      </c>
      <c r="P140" s="32" t="s">
        <v>66</v>
      </c>
      <c r="Q140" s="31">
        <f>23105</f>
        <v>23105</v>
      </c>
      <c r="R140" s="32" t="s">
        <v>934</v>
      </c>
      <c r="S140" s="33">
        <f>22839.25</f>
        <v>22839.25</v>
      </c>
      <c r="T140" s="30">
        <f>1762</f>
        <v>1762</v>
      </c>
      <c r="U140" s="30" t="str">
        <f>"－"</f>
        <v>－</v>
      </c>
      <c r="V140" s="30">
        <f>40137110</f>
        <v>40137110</v>
      </c>
      <c r="W140" s="30" t="str">
        <f>"－"</f>
        <v>－</v>
      </c>
      <c r="X140" s="34">
        <f>20</f>
        <v>20</v>
      </c>
    </row>
    <row r="141" spans="1:24" x14ac:dyDescent="0.15">
      <c r="A141" s="25" t="s">
        <v>1057</v>
      </c>
      <c r="B141" s="25" t="s">
        <v>463</v>
      </c>
      <c r="C141" s="25" t="s">
        <v>464</v>
      </c>
      <c r="D141" s="25" t="s">
        <v>465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9416</f>
        <v>9416</v>
      </c>
      <c r="L141" s="32" t="s">
        <v>904</v>
      </c>
      <c r="M141" s="31">
        <f>10735</f>
        <v>10735</v>
      </c>
      <c r="N141" s="32" t="s">
        <v>94</v>
      </c>
      <c r="O141" s="31">
        <f>9006</f>
        <v>9006</v>
      </c>
      <c r="P141" s="32" t="s">
        <v>810</v>
      </c>
      <c r="Q141" s="31">
        <f>10500</f>
        <v>10500</v>
      </c>
      <c r="R141" s="32" t="s">
        <v>934</v>
      </c>
      <c r="S141" s="33">
        <f>9698.41</f>
        <v>9698.41</v>
      </c>
      <c r="T141" s="30">
        <f>48905</f>
        <v>48905</v>
      </c>
      <c r="U141" s="30">
        <f>4740</f>
        <v>4740</v>
      </c>
      <c r="V141" s="30">
        <f>501256361</f>
        <v>501256361</v>
      </c>
      <c r="W141" s="30">
        <f>49872573</f>
        <v>49872573</v>
      </c>
      <c r="X141" s="34">
        <f>22</f>
        <v>22</v>
      </c>
    </row>
    <row r="142" spans="1:24" x14ac:dyDescent="0.15">
      <c r="A142" s="25" t="s">
        <v>1057</v>
      </c>
      <c r="B142" s="25" t="s">
        <v>466</v>
      </c>
      <c r="C142" s="25" t="s">
        <v>467</v>
      </c>
      <c r="D142" s="25" t="s">
        <v>468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15295</f>
        <v>15295</v>
      </c>
      <c r="L142" s="32" t="s">
        <v>904</v>
      </c>
      <c r="M142" s="31">
        <f>15800</f>
        <v>15800</v>
      </c>
      <c r="N142" s="32" t="s">
        <v>266</v>
      </c>
      <c r="O142" s="31">
        <f>14715</f>
        <v>14715</v>
      </c>
      <c r="P142" s="32" t="s">
        <v>810</v>
      </c>
      <c r="Q142" s="31">
        <f>15570</f>
        <v>15570</v>
      </c>
      <c r="R142" s="32" t="s">
        <v>934</v>
      </c>
      <c r="S142" s="33">
        <f>15243.57</f>
        <v>15243.57</v>
      </c>
      <c r="T142" s="30">
        <f>9253</f>
        <v>9253</v>
      </c>
      <c r="U142" s="30">
        <f>7000</f>
        <v>7000</v>
      </c>
      <c r="V142" s="30">
        <f>142048740</f>
        <v>142048740</v>
      </c>
      <c r="W142" s="30">
        <f>107467500</f>
        <v>107467500</v>
      </c>
      <c r="X142" s="34">
        <f>21</f>
        <v>21</v>
      </c>
    </row>
    <row r="143" spans="1:24" x14ac:dyDescent="0.15">
      <c r="A143" s="25" t="s">
        <v>1057</v>
      </c>
      <c r="B143" s="25" t="s">
        <v>469</v>
      </c>
      <c r="C143" s="25" t="s">
        <v>470</v>
      </c>
      <c r="D143" s="25" t="s">
        <v>471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31210</f>
        <v>31210</v>
      </c>
      <c r="L143" s="32" t="s">
        <v>904</v>
      </c>
      <c r="M143" s="31">
        <f>31210</f>
        <v>31210</v>
      </c>
      <c r="N143" s="32" t="s">
        <v>904</v>
      </c>
      <c r="O143" s="31">
        <f>27755</f>
        <v>27755</v>
      </c>
      <c r="P143" s="32" t="s">
        <v>94</v>
      </c>
      <c r="Q143" s="31">
        <f>28190</f>
        <v>28190</v>
      </c>
      <c r="R143" s="32" t="s">
        <v>934</v>
      </c>
      <c r="S143" s="33">
        <f>29211.59</f>
        <v>29211.59</v>
      </c>
      <c r="T143" s="30">
        <f>2495</f>
        <v>2495</v>
      </c>
      <c r="U143" s="30" t="str">
        <f>"－"</f>
        <v>－</v>
      </c>
      <c r="V143" s="30">
        <f>71405865</f>
        <v>71405865</v>
      </c>
      <c r="W143" s="30" t="str">
        <f>"－"</f>
        <v>－</v>
      </c>
      <c r="X143" s="34">
        <f>22</f>
        <v>22</v>
      </c>
    </row>
    <row r="144" spans="1:24" x14ac:dyDescent="0.15">
      <c r="A144" s="25" t="s">
        <v>1057</v>
      </c>
      <c r="B144" s="25" t="s">
        <v>472</v>
      </c>
      <c r="C144" s="25" t="s">
        <v>473</v>
      </c>
      <c r="D144" s="25" t="s">
        <v>474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1281.5</f>
        <v>1281.5</v>
      </c>
      <c r="L144" s="32" t="s">
        <v>904</v>
      </c>
      <c r="M144" s="31">
        <f>1288.5</f>
        <v>1288.5</v>
      </c>
      <c r="N144" s="32" t="s">
        <v>813</v>
      </c>
      <c r="O144" s="31">
        <f>1238.5</f>
        <v>1238.5</v>
      </c>
      <c r="P144" s="32" t="s">
        <v>810</v>
      </c>
      <c r="Q144" s="31">
        <f>1271.5</f>
        <v>1271.5</v>
      </c>
      <c r="R144" s="32" t="s">
        <v>934</v>
      </c>
      <c r="S144" s="33">
        <f>1266.39</f>
        <v>1266.3900000000001</v>
      </c>
      <c r="T144" s="30">
        <f>664270</f>
        <v>664270</v>
      </c>
      <c r="U144" s="30">
        <f>458010</f>
        <v>458010</v>
      </c>
      <c r="V144" s="30">
        <f>838867041</f>
        <v>838867041</v>
      </c>
      <c r="W144" s="30">
        <f>578508251</f>
        <v>578508251</v>
      </c>
      <c r="X144" s="34">
        <f>22</f>
        <v>22</v>
      </c>
    </row>
    <row r="145" spans="1:24" x14ac:dyDescent="0.15">
      <c r="A145" s="25" t="s">
        <v>1057</v>
      </c>
      <c r="B145" s="25" t="s">
        <v>475</v>
      </c>
      <c r="C145" s="25" t="s">
        <v>476</v>
      </c>
      <c r="D145" s="25" t="s">
        <v>477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2376</f>
        <v>2376</v>
      </c>
      <c r="L145" s="32" t="s">
        <v>904</v>
      </c>
      <c r="M145" s="31">
        <f>2376</f>
        <v>2376</v>
      </c>
      <c r="N145" s="32" t="s">
        <v>904</v>
      </c>
      <c r="O145" s="31">
        <f>2243.5</f>
        <v>2243.5</v>
      </c>
      <c r="P145" s="32" t="s">
        <v>934</v>
      </c>
      <c r="Q145" s="31">
        <f>2243.5</f>
        <v>2243.5</v>
      </c>
      <c r="R145" s="32" t="s">
        <v>934</v>
      </c>
      <c r="S145" s="33">
        <f>2300</f>
        <v>2300</v>
      </c>
      <c r="T145" s="30">
        <f>1770</f>
        <v>1770</v>
      </c>
      <c r="U145" s="30" t="str">
        <f>"－"</f>
        <v>－</v>
      </c>
      <c r="V145" s="30">
        <f>4034770</f>
        <v>4034770</v>
      </c>
      <c r="W145" s="30" t="str">
        <f>"－"</f>
        <v>－</v>
      </c>
      <c r="X145" s="34">
        <f>11</f>
        <v>11</v>
      </c>
    </row>
    <row r="146" spans="1:24" x14ac:dyDescent="0.15">
      <c r="A146" s="25" t="s">
        <v>1057</v>
      </c>
      <c r="B146" s="25" t="s">
        <v>478</v>
      </c>
      <c r="C146" s="25" t="s">
        <v>479</v>
      </c>
      <c r="D146" s="25" t="s">
        <v>480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2557</f>
        <v>2557</v>
      </c>
      <c r="L146" s="32" t="s">
        <v>904</v>
      </c>
      <c r="M146" s="31">
        <f>2557</f>
        <v>2557</v>
      </c>
      <c r="N146" s="32" t="s">
        <v>904</v>
      </c>
      <c r="O146" s="31">
        <f>2416.5</f>
        <v>2416.5</v>
      </c>
      <c r="P146" s="32" t="s">
        <v>936</v>
      </c>
      <c r="Q146" s="31">
        <f>2419.5</f>
        <v>2419.5</v>
      </c>
      <c r="R146" s="32" t="s">
        <v>934</v>
      </c>
      <c r="S146" s="33">
        <f>2475.65</f>
        <v>2475.65</v>
      </c>
      <c r="T146" s="30">
        <f>55050</f>
        <v>55050</v>
      </c>
      <c r="U146" s="30" t="str">
        <f>"－"</f>
        <v>－</v>
      </c>
      <c r="V146" s="30">
        <f>134962605</f>
        <v>134962605</v>
      </c>
      <c r="W146" s="30" t="str">
        <f>"－"</f>
        <v>－</v>
      </c>
      <c r="X146" s="34">
        <f>20</f>
        <v>20</v>
      </c>
    </row>
    <row r="147" spans="1:24" x14ac:dyDescent="0.15">
      <c r="A147" s="25" t="s">
        <v>1057</v>
      </c>
      <c r="B147" s="25" t="s">
        <v>481</v>
      </c>
      <c r="C147" s="25" t="s">
        <v>482</v>
      </c>
      <c r="D147" s="25" t="s">
        <v>483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1546</f>
        <v>1546</v>
      </c>
      <c r="L147" s="32" t="s">
        <v>80</v>
      </c>
      <c r="M147" s="31">
        <f>1573</f>
        <v>1573</v>
      </c>
      <c r="N147" s="32" t="s">
        <v>695</v>
      </c>
      <c r="O147" s="31">
        <f>1500</f>
        <v>1500</v>
      </c>
      <c r="P147" s="32" t="s">
        <v>934</v>
      </c>
      <c r="Q147" s="31">
        <f>1500</f>
        <v>1500</v>
      </c>
      <c r="R147" s="32" t="s">
        <v>934</v>
      </c>
      <c r="S147" s="33">
        <f>1532.5</f>
        <v>1532.5</v>
      </c>
      <c r="T147" s="30">
        <f>15280</f>
        <v>15280</v>
      </c>
      <c r="U147" s="30" t="str">
        <f>"－"</f>
        <v>－</v>
      </c>
      <c r="V147" s="30">
        <f>23571170</f>
        <v>23571170</v>
      </c>
      <c r="W147" s="30" t="str">
        <f>"－"</f>
        <v>－</v>
      </c>
      <c r="X147" s="34">
        <f>6</f>
        <v>6</v>
      </c>
    </row>
    <row r="148" spans="1:24" x14ac:dyDescent="0.15">
      <c r="A148" s="25" t="s">
        <v>1057</v>
      </c>
      <c r="B148" s="25" t="s">
        <v>484</v>
      </c>
      <c r="C148" s="25" t="s">
        <v>485</v>
      </c>
      <c r="D148" s="25" t="s">
        <v>486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404.7</f>
        <v>404.7</v>
      </c>
      <c r="L148" s="32" t="s">
        <v>904</v>
      </c>
      <c r="M148" s="31">
        <f>405.2</f>
        <v>405.2</v>
      </c>
      <c r="N148" s="32" t="s">
        <v>904</v>
      </c>
      <c r="O148" s="31">
        <f>362.9</f>
        <v>362.9</v>
      </c>
      <c r="P148" s="32" t="s">
        <v>87</v>
      </c>
      <c r="Q148" s="31">
        <f>367.5</f>
        <v>367.5</v>
      </c>
      <c r="R148" s="32" t="s">
        <v>934</v>
      </c>
      <c r="S148" s="33">
        <f>381.98</f>
        <v>381.98</v>
      </c>
      <c r="T148" s="30">
        <f>52930230</f>
        <v>52930230</v>
      </c>
      <c r="U148" s="30">
        <f>874200</f>
        <v>874200</v>
      </c>
      <c r="V148" s="30">
        <f>20176740527</f>
        <v>20176740527</v>
      </c>
      <c r="W148" s="30">
        <f>346744553</f>
        <v>346744553</v>
      </c>
      <c r="X148" s="34">
        <f>22</f>
        <v>22</v>
      </c>
    </row>
    <row r="149" spans="1:24" x14ac:dyDescent="0.15">
      <c r="A149" s="25" t="s">
        <v>1057</v>
      </c>
      <c r="B149" s="25" t="s">
        <v>487</v>
      </c>
      <c r="C149" s="25" t="s">
        <v>488</v>
      </c>
      <c r="D149" s="25" t="s">
        <v>489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278.8</f>
        <v>278.8</v>
      </c>
      <c r="L149" s="32" t="s">
        <v>904</v>
      </c>
      <c r="M149" s="31">
        <f>282</f>
        <v>282</v>
      </c>
      <c r="N149" s="32" t="s">
        <v>906</v>
      </c>
      <c r="O149" s="31">
        <f>263.9</f>
        <v>263.89999999999998</v>
      </c>
      <c r="P149" s="32" t="s">
        <v>934</v>
      </c>
      <c r="Q149" s="31">
        <f>263.9</f>
        <v>263.89999999999998</v>
      </c>
      <c r="R149" s="32" t="s">
        <v>934</v>
      </c>
      <c r="S149" s="33">
        <f>273</f>
        <v>273</v>
      </c>
      <c r="T149" s="30">
        <f>14543760</f>
        <v>14543760</v>
      </c>
      <c r="U149" s="30">
        <f>10513910</f>
        <v>10513910</v>
      </c>
      <c r="V149" s="30">
        <f>3938363016</f>
        <v>3938363016</v>
      </c>
      <c r="W149" s="30">
        <f>2835201363</f>
        <v>2835201363</v>
      </c>
      <c r="X149" s="34">
        <f>22</f>
        <v>22</v>
      </c>
    </row>
    <row r="150" spans="1:24" x14ac:dyDescent="0.15">
      <c r="A150" s="25" t="s">
        <v>1057</v>
      </c>
      <c r="B150" s="25" t="s">
        <v>490</v>
      </c>
      <c r="C150" s="25" t="s">
        <v>491</v>
      </c>
      <c r="D150" s="25" t="s">
        <v>492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3515</f>
        <v>3515</v>
      </c>
      <c r="L150" s="32" t="s">
        <v>904</v>
      </c>
      <c r="M150" s="31">
        <f>3540</f>
        <v>3540</v>
      </c>
      <c r="N150" s="32" t="s">
        <v>909</v>
      </c>
      <c r="O150" s="31">
        <f>3170</f>
        <v>3170</v>
      </c>
      <c r="P150" s="32" t="s">
        <v>87</v>
      </c>
      <c r="Q150" s="31">
        <f>3225</f>
        <v>3225</v>
      </c>
      <c r="R150" s="32" t="s">
        <v>934</v>
      </c>
      <c r="S150" s="33">
        <f>3336.59</f>
        <v>3336.59</v>
      </c>
      <c r="T150" s="30">
        <f>145769</f>
        <v>145769</v>
      </c>
      <c r="U150" s="30">
        <f>3180</f>
        <v>3180</v>
      </c>
      <c r="V150" s="30">
        <f>493419112</f>
        <v>493419112</v>
      </c>
      <c r="W150" s="30">
        <f>10859382</f>
        <v>10859382</v>
      </c>
      <c r="X150" s="34">
        <f>22</f>
        <v>22</v>
      </c>
    </row>
    <row r="151" spans="1:24" x14ac:dyDescent="0.15">
      <c r="A151" s="25" t="s">
        <v>1057</v>
      </c>
      <c r="B151" s="25" t="s">
        <v>493</v>
      </c>
      <c r="C151" s="25" t="s">
        <v>494</v>
      </c>
      <c r="D151" s="25" t="s">
        <v>495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2233</f>
        <v>2233</v>
      </c>
      <c r="L151" s="32" t="s">
        <v>904</v>
      </c>
      <c r="M151" s="31">
        <f>2246</f>
        <v>2246</v>
      </c>
      <c r="N151" s="32" t="s">
        <v>904</v>
      </c>
      <c r="O151" s="31">
        <f>2077</f>
        <v>2077</v>
      </c>
      <c r="P151" s="32" t="s">
        <v>87</v>
      </c>
      <c r="Q151" s="31">
        <f>2112</f>
        <v>2112</v>
      </c>
      <c r="R151" s="32" t="s">
        <v>934</v>
      </c>
      <c r="S151" s="33">
        <f>2163.95</f>
        <v>2163.9499999999998</v>
      </c>
      <c r="T151" s="30">
        <f>141246</f>
        <v>141246</v>
      </c>
      <c r="U151" s="30" t="str">
        <f>"－"</f>
        <v>－</v>
      </c>
      <c r="V151" s="30">
        <f>306698498</f>
        <v>306698498</v>
      </c>
      <c r="W151" s="30" t="str">
        <f>"－"</f>
        <v>－</v>
      </c>
      <c r="X151" s="34">
        <f>22</f>
        <v>22</v>
      </c>
    </row>
    <row r="152" spans="1:24" x14ac:dyDescent="0.15">
      <c r="A152" s="25" t="s">
        <v>1057</v>
      </c>
      <c r="B152" s="25" t="s">
        <v>496</v>
      </c>
      <c r="C152" s="25" t="s">
        <v>497</v>
      </c>
      <c r="D152" s="25" t="s">
        <v>498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2681</f>
        <v>2681</v>
      </c>
      <c r="L152" s="32" t="s">
        <v>904</v>
      </c>
      <c r="M152" s="31">
        <f>2688</f>
        <v>2688</v>
      </c>
      <c r="N152" s="32" t="s">
        <v>904</v>
      </c>
      <c r="O152" s="31">
        <f>2413</f>
        <v>2413</v>
      </c>
      <c r="P152" s="32" t="s">
        <v>66</v>
      </c>
      <c r="Q152" s="31">
        <f>2458</f>
        <v>2458</v>
      </c>
      <c r="R152" s="32" t="s">
        <v>934</v>
      </c>
      <c r="S152" s="33">
        <f>2546.41</f>
        <v>2546.41</v>
      </c>
      <c r="T152" s="30">
        <f>338765</f>
        <v>338765</v>
      </c>
      <c r="U152" s="30" t="str">
        <f>"－"</f>
        <v>－</v>
      </c>
      <c r="V152" s="30">
        <f>866543978</f>
        <v>866543978</v>
      </c>
      <c r="W152" s="30" t="str">
        <f>"－"</f>
        <v>－</v>
      </c>
      <c r="X152" s="34">
        <f>22</f>
        <v>22</v>
      </c>
    </row>
    <row r="153" spans="1:24" x14ac:dyDescent="0.15">
      <c r="A153" s="25" t="s">
        <v>1057</v>
      </c>
      <c r="B153" s="25" t="s">
        <v>499</v>
      </c>
      <c r="C153" s="25" t="s">
        <v>500</v>
      </c>
      <c r="D153" s="25" t="s">
        <v>501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11265</f>
        <v>11265</v>
      </c>
      <c r="L153" s="32" t="s">
        <v>904</v>
      </c>
      <c r="M153" s="31">
        <f>11280</f>
        <v>11280</v>
      </c>
      <c r="N153" s="32" t="s">
        <v>904</v>
      </c>
      <c r="O153" s="31">
        <f>10395</f>
        <v>10395</v>
      </c>
      <c r="P153" s="32" t="s">
        <v>87</v>
      </c>
      <c r="Q153" s="31">
        <f>10820</f>
        <v>10820</v>
      </c>
      <c r="R153" s="32" t="s">
        <v>934</v>
      </c>
      <c r="S153" s="33">
        <f>10931.36</f>
        <v>10931.36</v>
      </c>
      <c r="T153" s="30">
        <f>38077</f>
        <v>38077</v>
      </c>
      <c r="U153" s="30" t="str">
        <f>"－"</f>
        <v>－</v>
      </c>
      <c r="V153" s="30">
        <f>412447120</f>
        <v>412447120</v>
      </c>
      <c r="W153" s="30" t="str">
        <f>"－"</f>
        <v>－</v>
      </c>
      <c r="X153" s="34">
        <f>22</f>
        <v>22</v>
      </c>
    </row>
    <row r="154" spans="1:24" x14ac:dyDescent="0.15">
      <c r="A154" s="25" t="s">
        <v>1057</v>
      </c>
      <c r="B154" s="25" t="s">
        <v>502</v>
      </c>
      <c r="C154" s="25" t="s">
        <v>503</v>
      </c>
      <c r="D154" s="25" t="s">
        <v>504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2660</f>
        <v>2660</v>
      </c>
      <c r="L154" s="32" t="s">
        <v>904</v>
      </c>
      <c r="M154" s="31">
        <f>2665</f>
        <v>2665</v>
      </c>
      <c r="N154" s="32" t="s">
        <v>904</v>
      </c>
      <c r="O154" s="31">
        <f>2352</f>
        <v>2352</v>
      </c>
      <c r="P154" s="32" t="s">
        <v>813</v>
      </c>
      <c r="Q154" s="31">
        <f>2524</f>
        <v>2524</v>
      </c>
      <c r="R154" s="32" t="s">
        <v>934</v>
      </c>
      <c r="S154" s="33">
        <f>2497.14</f>
        <v>2497.14</v>
      </c>
      <c r="T154" s="30">
        <f>9747996</f>
        <v>9747996</v>
      </c>
      <c r="U154" s="30">
        <f>1994</f>
        <v>1994</v>
      </c>
      <c r="V154" s="30">
        <f>24268182154</f>
        <v>24268182154</v>
      </c>
      <c r="W154" s="30">
        <f>5118598</f>
        <v>5118598</v>
      </c>
      <c r="X154" s="34">
        <f>22</f>
        <v>22</v>
      </c>
    </row>
    <row r="155" spans="1:24" x14ac:dyDescent="0.15">
      <c r="A155" s="25" t="s">
        <v>1057</v>
      </c>
      <c r="B155" s="25" t="s">
        <v>505</v>
      </c>
      <c r="C155" s="25" t="s">
        <v>506</v>
      </c>
      <c r="D155" s="25" t="s">
        <v>507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22990</f>
        <v>22990</v>
      </c>
      <c r="L155" s="32" t="s">
        <v>904</v>
      </c>
      <c r="M155" s="31">
        <f>23170</f>
        <v>23170</v>
      </c>
      <c r="N155" s="32" t="s">
        <v>813</v>
      </c>
      <c r="O155" s="31">
        <f>22340</f>
        <v>22340</v>
      </c>
      <c r="P155" s="32" t="s">
        <v>935</v>
      </c>
      <c r="Q155" s="31">
        <f>22655</f>
        <v>22655</v>
      </c>
      <c r="R155" s="32" t="s">
        <v>934</v>
      </c>
      <c r="S155" s="33">
        <f>22796.36</f>
        <v>22796.36</v>
      </c>
      <c r="T155" s="30">
        <f>2400</f>
        <v>2400</v>
      </c>
      <c r="U155" s="30" t="str">
        <f>"－"</f>
        <v>－</v>
      </c>
      <c r="V155" s="30">
        <f>54774110</f>
        <v>54774110</v>
      </c>
      <c r="W155" s="30" t="str">
        <f>"－"</f>
        <v>－</v>
      </c>
      <c r="X155" s="34">
        <f>22</f>
        <v>22</v>
      </c>
    </row>
    <row r="156" spans="1:24" x14ac:dyDescent="0.15">
      <c r="A156" s="25" t="s">
        <v>1057</v>
      </c>
      <c r="B156" s="25" t="s">
        <v>508</v>
      </c>
      <c r="C156" s="25" t="s">
        <v>509</v>
      </c>
      <c r="D156" s="25" t="s">
        <v>510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</v>
      </c>
      <c r="K156" s="31">
        <f>2844.5</f>
        <v>2844.5</v>
      </c>
      <c r="L156" s="32" t="s">
        <v>904</v>
      </c>
      <c r="M156" s="31">
        <f>3000</f>
        <v>3000</v>
      </c>
      <c r="N156" s="32" t="s">
        <v>915</v>
      </c>
      <c r="O156" s="31">
        <f>2810</f>
        <v>2810</v>
      </c>
      <c r="P156" s="32" t="s">
        <v>70</v>
      </c>
      <c r="Q156" s="31">
        <f>2971.5</f>
        <v>2971.5</v>
      </c>
      <c r="R156" s="32" t="s">
        <v>934</v>
      </c>
      <c r="S156" s="33">
        <f>2914.45</f>
        <v>2914.45</v>
      </c>
      <c r="T156" s="30">
        <f>18920</f>
        <v>18920</v>
      </c>
      <c r="U156" s="30" t="str">
        <f>"－"</f>
        <v>－</v>
      </c>
      <c r="V156" s="30">
        <f>55284915</f>
        <v>55284915</v>
      </c>
      <c r="W156" s="30" t="str">
        <f>"－"</f>
        <v>－</v>
      </c>
      <c r="X156" s="34">
        <f>22</f>
        <v>22</v>
      </c>
    </row>
    <row r="157" spans="1:24" x14ac:dyDescent="0.15">
      <c r="A157" s="25" t="s">
        <v>1057</v>
      </c>
      <c r="B157" s="25" t="s">
        <v>511</v>
      </c>
      <c r="C157" s="25" t="s">
        <v>512</v>
      </c>
      <c r="D157" s="25" t="s">
        <v>513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13090</f>
        <v>13090</v>
      </c>
      <c r="L157" s="32" t="s">
        <v>904</v>
      </c>
      <c r="M157" s="31">
        <f>13265</f>
        <v>13265</v>
      </c>
      <c r="N157" s="32" t="s">
        <v>909</v>
      </c>
      <c r="O157" s="31">
        <f>12020</f>
        <v>12020</v>
      </c>
      <c r="P157" s="32" t="s">
        <v>935</v>
      </c>
      <c r="Q157" s="31">
        <f>12945</f>
        <v>12945</v>
      </c>
      <c r="R157" s="32" t="s">
        <v>934</v>
      </c>
      <c r="S157" s="33">
        <f>12716</f>
        <v>12716</v>
      </c>
      <c r="T157" s="30">
        <f>1683</f>
        <v>1683</v>
      </c>
      <c r="U157" s="30" t="str">
        <f>"－"</f>
        <v>－</v>
      </c>
      <c r="V157" s="30">
        <f>21515445</f>
        <v>21515445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1057</v>
      </c>
      <c r="B158" s="25" t="s">
        <v>514</v>
      </c>
      <c r="C158" s="25" t="s">
        <v>515</v>
      </c>
      <c r="D158" s="25" t="s">
        <v>516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24425</f>
        <v>24425</v>
      </c>
      <c r="L158" s="32" t="s">
        <v>904</v>
      </c>
      <c r="M158" s="31">
        <f>24785</f>
        <v>24785</v>
      </c>
      <c r="N158" s="32" t="s">
        <v>813</v>
      </c>
      <c r="O158" s="31">
        <f>20635</f>
        <v>20635</v>
      </c>
      <c r="P158" s="32" t="s">
        <v>935</v>
      </c>
      <c r="Q158" s="31">
        <f>22490</f>
        <v>22490</v>
      </c>
      <c r="R158" s="32" t="s">
        <v>934</v>
      </c>
      <c r="S158" s="33">
        <f>22950</f>
        <v>22950</v>
      </c>
      <c r="T158" s="30">
        <f>4026</f>
        <v>4026</v>
      </c>
      <c r="U158" s="30" t="str">
        <f>"－"</f>
        <v>－</v>
      </c>
      <c r="V158" s="30">
        <f>89452595</f>
        <v>89452595</v>
      </c>
      <c r="W158" s="30" t="str">
        <f>"－"</f>
        <v>－</v>
      </c>
      <c r="X158" s="34">
        <f>22</f>
        <v>22</v>
      </c>
    </row>
    <row r="159" spans="1:24" x14ac:dyDescent="0.15">
      <c r="A159" s="25" t="s">
        <v>1057</v>
      </c>
      <c r="B159" s="25" t="s">
        <v>517</v>
      </c>
      <c r="C159" s="25" t="s">
        <v>518</v>
      </c>
      <c r="D159" s="25" t="s">
        <v>519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18420</f>
        <v>18420</v>
      </c>
      <c r="L159" s="32" t="s">
        <v>904</v>
      </c>
      <c r="M159" s="31">
        <f>19305</f>
        <v>19305</v>
      </c>
      <c r="N159" s="32" t="s">
        <v>904</v>
      </c>
      <c r="O159" s="31">
        <f>17910</f>
        <v>17910</v>
      </c>
      <c r="P159" s="32" t="s">
        <v>87</v>
      </c>
      <c r="Q159" s="31">
        <f>18410</f>
        <v>18410</v>
      </c>
      <c r="R159" s="32" t="s">
        <v>934</v>
      </c>
      <c r="S159" s="33">
        <f>18479.29</f>
        <v>18479.29</v>
      </c>
      <c r="T159" s="30">
        <f>33</f>
        <v>33</v>
      </c>
      <c r="U159" s="30" t="str">
        <f>"－"</f>
        <v>－</v>
      </c>
      <c r="V159" s="30">
        <f>607030</f>
        <v>607030</v>
      </c>
      <c r="W159" s="30" t="str">
        <f>"－"</f>
        <v>－</v>
      </c>
      <c r="X159" s="34">
        <f>7</f>
        <v>7</v>
      </c>
    </row>
    <row r="160" spans="1:24" x14ac:dyDescent="0.15">
      <c r="A160" s="25" t="s">
        <v>1057</v>
      </c>
      <c r="B160" s="25" t="s">
        <v>520</v>
      </c>
      <c r="C160" s="25" t="s">
        <v>521</v>
      </c>
      <c r="D160" s="25" t="s">
        <v>522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51100</f>
        <v>51100</v>
      </c>
      <c r="L160" s="32" t="s">
        <v>904</v>
      </c>
      <c r="M160" s="31">
        <f>51400</f>
        <v>51400</v>
      </c>
      <c r="N160" s="32" t="s">
        <v>912</v>
      </c>
      <c r="O160" s="31">
        <f>48500</f>
        <v>48500</v>
      </c>
      <c r="P160" s="32" t="s">
        <v>934</v>
      </c>
      <c r="Q160" s="31">
        <f>48510</f>
        <v>48510</v>
      </c>
      <c r="R160" s="32" t="s">
        <v>934</v>
      </c>
      <c r="S160" s="33">
        <f>50227.27</f>
        <v>50227.27</v>
      </c>
      <c r="T160" s="30">
        <f>8370</f>
        <v>8370</v>
      </c>
      <c r="U160" s="30">
        <f>40</f>
        <v>40</v>
      </c>
      <c r="V160" s="30">
        <f>416083200</f>
        <v>416083200</v>
      </c>
      <c r="W160" s="30">
        <f>2037200</f>
        <v>2037200</v>
      </c>
      <c r="X160" s="34">
        <f>22</f>
        <v>22</v>
      </c>
    </row>
    <row r="161" spans="1:24" x14ac:dyDescent="0.15">
      <c r="A161" s="25" t="s">
        <v>1057</v>
      </c>
      <c r="B161" s="25" t="s">
        <v>523</v>
      </c>
      <c r="C161" s="25" t="s">
        <v>524</v>
      </c>
      <c r="D161" s="25" t="s">
        <v>525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100</v>
      </c>
      <c r="K161" s="31">
        <f>287.4</f>
        <v>287.39999999999998</v>
      </c>
      <c r="L161" s="32" t="s">
        <v>904</v>
      </c>
      <c r="M161" s="31">
        <f>287.9</f>
        <v>287.89999999999998</v>
      </c>
      <c r="N161" s="32" t="s">
        <v>904</v>
      </c>
      <c r="O161" s="31">
        <f>257</f>
        <v>257</v>
      </c>
      <c r="P161" s="32" t="s">
        <v>812</v>
      </c>
      <c r="Q161" s="31">
        <f>262.4</f>
        <v>262.39999999999998</v>
      </c>
      <c r="R161" s="32" t="s">
        <v>934</v>
      </c>
      <c r="S161" s="33">
        <f>271.51</f>
        <v>271.51</v>
      </c>
      <c r="T161" s="30">
        <f>21609700</f>
        <v>21609700</v>
      </c>
      <c r="U161" s="30">
        <f>181000</f>
        <v>181000</v>
      </c>
      <c r="V161" s="30">
        <f>5851801460</f>
        <v>5851801460</v>
      </c>
      <c r="W161" s="30">
        <f>51814500</f>
        <v>51814500</v>
      </c>
      <c r="X161" s="34">
        <f>22</f>
        <v>22</v>
      </c>
    </row>
    <row r="162" spans="1:24" x14ac:dyDescent="0.15">
      <c r="A162" s="25" t="s">
        <v>1057</v>
      </c>
      <c r="B162" s="25" t="s">
        <v>526</v>
      </c>
      <c r="C162" s="25" t="s">
        <v>527</v>
      </c>
      <c r="D162" s="25" t="s">
        <v>528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41130</f>
        <v>41130</v>
      </c>
      <c r="L162" s="32" t="s">
        <v>904</v>
      </c>
      <c r="M162" s="31">
        <f>41290</f>
        <v>41290</v>
      </c>
      <c r="N162" s="32" t="s">
        <v>904</v>
      </c>
      <c r="O162" s="31">
        <f>36870</f>
        <v>36870</v>
      </c>
      <c r="P162" s="32" t="s">
        <v>87</v>
      </c>
      <c r="Q162" s="31">
        <f>37400</f>
        <v>37400</v>
      </c>
      <c r="R162" s="32" t="s">
        <v>934</v>
      </c>
      <c r="S162" s="33">
        <f>38622.73</f>
        <v>38622.730000000003</v>
      </c>
      <c r="T162" s="30">
        <f>21770</f>
        <v>21770</v>
      </c>
      <c r="U162" s="30" t="str">
        <f t="shared" ref="U162:U170" si="7">"－"</f>
        <v>－</v>
      </c>
      <c r="V162" s="30">
        <f>848857600</f>
        <v>848857600</v>
      </c>
      <c r="W162" s="30" t="str">
        <f t="shared" ref="W162:W170" si="8">"－"</f>
        <v>－</v>
      </c>
      <c r="X162" s="34">
        <f>22</f>
        <v>22</v>
      </c>
    </row>
    <row r="163" spans="1:24" x14ac:dyDescent="0.15">
      <c r="A163" s="25" t="s">
        <v>1057</v>
      </c>
      <c r="B163" s="25" t="s">
        <v>529</v>
      </c>
      <c r="C163" s="25" t="s">
        <v>530</v>
      </c>
      <c r="D163" s="25" t="s">
        <v>531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4018</f>
        <v>4018</v>
      </c>
      <c r="L163" s="32" t="s">
        <v>904</v>
      </c>
      <c r="M163" s="31">
        <f>4020</f>
        <v>4020</v>
      </c>
      <c r="N163" s="32" t="s">
        <v>904</v>
      </c>
      <c r="O163" s="31">
        <f>3632</f>
        <v>3632</v>
      </c>
      <c r="P163" s="32" t="s">
        <v>87</v>
      </c>
      <c r="Q163" s="31">
        <f>3688</f>
        <v>3688</v>
      </c>
      <c r="R163" s="32" t="s">
        <v>934</v>
      </c>
      <c r="S163" s="33">
        <f>3820.41</f>
        <v>3820.41</v>
      </c>
      <c r="T163" s="30">
        <f>71500</f>
        <v>71500</v>
      </c>
      <c r="U163" s="30" t="str">
        <f t="shared" si="7"/>
        <v>－</v>
      </c>
      <c r="V163" s="30">
        <f>271680860</f>
        <v>271680860</v>
      </c>
      <c r="W163" s="30" t="str">
        <f t="shared" si="8"/>
        <v>－</v>
      </c>
      <c r="X163" s="34">
        <f>22</f>
        <v>22</v>
      </c>
    </row>
    <row r="164" spans="1:24" x14ac:dyDescent="0.15">
      <c r="A164" s="25" t="s">
        <v>1057</v>
      </c>
      <c r="B164" s="25" t="s">
        <v>532</v>
      </c>
      <c r="C164" s="25" t="s">
        <v>533</v>
      </c>
      <c r="D164" s="25" t="s">
        <v>534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1725</f>
        <v>1725</v>
      </c>
      <c r="L164" s="32" t="s">
        <v>904</v>
      </c>
      <c r="M164" s="31">
        <f>1740</f>
        <v>1740</v>
      </c>
      <c r="N164" s="32" t="s">
        <v>904</v>
      </c>
      <c r="O164" s="31">
        <f>1602</f>
        <v>1602</v>
      </c>
      <c r="P164" s="32" t="s">
        <v>66</v>
      </c>
      <c r="Q164" s="31">
        <f>1632</f>
        <v>1632</v>
      </c>
      <c r="R164" s="32" t="s">
        <v>934</v>
      </c>
      <c r="S164" s="33">
        <f>1666.68</f>
        <v>1666.68</v>
      </c>
      <c r="T164" s="30">
        <f>154780</f>
        <v>154780</v>
      </c>
      <c r="U164" s="30" t="str">
        <f t="shared" si="7"/>
        <v>－</v>
      </c>
      <c r="V164" s="30">
        <f>258027515</f>
        <v>258027515</v>
      </c>
      <c r="W164" s="30" t="str">
        <f t="shared" si="8"/>
        <v>－</v>
      </c>
      <c r="X164" s="34">
        <f>22</f>
        <v>22</v>
      </c>
    </row>
    <row r="165" spans="1:24" x14ac:dyDescent="0.15">
      <c r="A165" s="25" t="s">
        <v>1057</v>
      </c>
      <c r="B165" s="25" t="s">
        <v>535</v>
      </c>
      <c r="C165" s="25" t="s">
        <v>536</v>
      </c>
      <c r="D165" s="25" t="s">
        <v>537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100</v>
      </c>
      <c r="K165" s="31">
        <f>235.2</f>
        <v>235.2</v>
      </c>
      <c r="L165" s="32" t="s">
        <v>904</v>
      </c>
      <c r="M165" s="31">
        <f>239.8</f>
        <v>239.8</v>
      </c>
      <c r="N165" s="32" t="s">
        <v>904</v>
      </c>
      <c r="O165" s="31">
        <f>219</f>
        <v>219</v>
      </c>
      <c r="P165" s="32" t="s">
        <v>935</v>
      </c>
      <c r="Q165" s="31">
        <f>233.6</f>
        <v>233.6</v>
      </c>
      <c r="R165" s="32" t="s">
        <v>934</v>
      </c>
      <c r="S165" s="33">
        <f>230.7</f>
        <v>230.7</v>
      </c>
      <c r="T165" s="30">
        <f>105600</f>
        <v>105600</v>
      </c>
      <c r="U165" s="30" t="str">
        <f t="shared" si="7"/>
        <v>－</v>
      </c>
      <c r="V165" s="30">
        <f>24401930</f>
        <v>24401930</v>
      </c>
      <c r="W165" s="30" t="str">
        <f t="shared" si="8"/>
        <v>－</v>
      </c>
      <c r="X165" s="34">
        <f>22</f>
        <v>22</v>
      </c>
    </row>
    <row r="166" spans="1:24" x14ac:dyDescent="0.15">
      <c r="A166" s="25" t="s">
        <v>1057</v>
      </c>
      <c r="B166" s="25" t="s">
        <v>538</v>
      </c>
      <c r="C166" s="25" t="s">
        <v>539</v>
      </c>
      <c r="D166" s="25" t="s">
        <v>540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1653.5</f>
        <v>1653.5</v>
      </c>
      <c r="L166" s="32" t="s">
        <v>904</v>
      </c>
      <c r="M166" s="31">
        <f>1693.5</f>
        <v>1693.5</v>
      </c>
      <c r="N166" s="32" t="s">
        <v>904</v>
      </c>
      <c r="O166" s="31">
        <f>1500</f>
        <v>1500</v>
      </c>
      <c r="P166" s="32" t="s">
        <v>66</v>
      </c>
      <c r="Q166" s="31">
        <f>1561</f>
        <v>1561</v>
      </c>
      <c r="R166" s="32" t="s">
        <v>934</v>
      </c>
      <c r="S166" s="33">
        <f>1573.9</f>
        <v>1573.9</v>
      </c>
      <c r="T166" s="30">
        <f>3270</f>
        <v>3270</v>
      </c>
      <c r="U166" s="30" t="str">
        <f t="shared" si="7"/>
        <v>－</v>
      </c>
      <c r="V166" s="30">
        <f>5136620</f>
        <v>5136620</v>
      </c>
      <c r="W166" s="30" t="str">
        <f t="shared" si="8"/>
        <v>－</v>
      </c>
      <c r="X166" s="34">
        <f>20</f>
        <v>20</v>
      </c>
    </row>
    <row r="167" spans="1:24" x14ac:dyDescent="0.15">
      <c r="A167" s="25" t="s">
        <v>1057</v>
      </c>
      <c r="B167" s="25" t="s">
        <v>541</v>
      </c>
      <c r="C167" s="25" t="s">
        <v>542</v>
      </c>
      <c r="D167" s="25" t="s">
        <v>543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700.9</f>
        <v>700.9</v>
      </c>
      <c r="L167" s="32" t="s">
        <v>904</v>
      </c>
      <c r="M167" s="31">
        <f>700.9</f>
        <v>700.9</v>
      </c>
      <c r="N167" s="32" t="s">
        <v>904</v>
      </c>
      <c r="O167" s="31">
        <f>581.3</f>
        <v>581.29999999999995</v>
      </c>
      <c r="P167" s="32" t="s">
        <v>934</v>
      </c>
      <c r="Q167" s="31">
        <f>594.8</f>
        <v>594.79999999999995</v>
      </c>
      <c r="R167" s="32" t="s">
        <v>934</v>
      </c>
      <c r="S167" s="33">
        <f>619.74</f>
        <v>619.74</v>
      </c>
      <c r="T167" s="30">
        <f>40190</f>
        <v>40190</v>
      </c>
      <c r="U167" s="30" t="str">
        <f t="shared" si="7"/>
        <v>－</v>
      </c>
      <c r="V167" s="30">
        <f>24853359</f>
        <v>24853359</v>
      </c>
      <c r="W167" s="30" t="str">
        <f t="shared" si="8"/>
        <v>－</v>
      </c>
      <c r="X167" s="34">
        <f>22</f>
        <v>22</v>
      </c>
    </row>
    <row r="168" spans="1:24" x14ac:dyDescent="0.15">
      <c r="A168" s="25" t="s">
        <v>1057</v>
      </c>
      <c r="B168" s="25" t="s">
        <v>544</v>
      </c>
      <c r="C168" s="25" t="s">
        <v>545</v>
      </c>
      <c r="D168" s="25" t="s">
        <v>546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2151.5</f>
        <v>2151.5</v>
      </c>
      <c r="L168" s="32" t="s">
        <v>904</v>
      </c>
      <c r="M168" s="31">
        <f>2298</f>
        <v>2298</v>
      </c>
      <c r="N168" s="32" t="s">
        <v>912</v>
      </c>
      <c r="O168" s="31">
        <f>2072.5</f>
        <v>2072.5</v>
      </c>
      <c r="P168" s="32" t="s">
        <v>87</v>
      </c>
      <c r="Q168" s="31">
        <f>2167</f>
        <v>2167</v>
      </c>
      <c r="R168" s="32" t="s">
        <v>934</v>
      </c>
      <c r="S168" s="33">
        <f>2179.75</f>
        <v>2179.75</v>
      </c>
      <c r="T168" s="30">
        <f>4100</f>
        <v>4100</v>
      </c>
      <c r="U168" s="30" t="str">
        <f t="shared" si="7"/>
        <v>－</v>
      </c>
      <c r="V168" s="30">
        <f>9002300</f>
        <v>9002300</v>
      </c>
      <c r="W168" s="30" t="str">
        <f t="shared" si="8"/>
        <v>－</v>
      </c>
      <c r="X168" s="34">
        <f>20</f>
        <v>20</v>
      </c>
    </row>
    <row r="169" spans="1:24" x14ac:dyDescent="0.15">
      <c r="A169" s="25" t="s">
        <v>1057</v>
      </c>
      <c r="B169" s="25" t="s">
        <v>547</v>
      </c>
      <c r="C169" s="25" t="s">
        <v>548</v>
      </c>
      <c r="D169" s="25" t="s">
        <v>549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914.9</f>
        <v>914.9</v>
      </c>
      <c r="L169" s="32" t="s">
        <v>904</v>
      </c>
      <c r="M169" s="31">
        <f>914.9</f>
        <v>914.9</v>
      </c>
      <c r="N169" s="32" t="s">
        <v>904</v>
      </c>
      <c r="O169" s="31">
        <f>860</f>
        <v>860</v>
      </c>
      <c r="P169" s="32" t="s">
        <v>812</v>
      </c>
      <c r="Q169" s="31">
        <f>892.6</f>
        <v>892.6</v>
      </c>
      <c r="R169" s="32" t="s">
        <v>934</v>
      </c>
      <c r="S169" s="33">
        <f>881.5</f>
        <v>881.5</v>
      </c>
      <c r="T169" s="30">
        <f>61120</f>
        <v>61120</v>
      </c>
      <c r="U169" s="30" t="str">
        <f t="shared" si="7"/>
        <v>－</v>
      </c>
      <c r="V169" s="30">
        <f>53745828</f>
        <v>53745828</v>
      </c>
      <c r="W169" s="30" t="str">
        <f t="shared" si="8"/>
        <v>－</v>
      </c>
      <c r="X169" s="34">
        <f>22</f>
        <v>22</v>
      </c>
    </row>
    <row r="170" spans="1:24" x14ac:dyDescent="0.15">
      <c r="A170" s="25" t="s">
        <v>1057</v>
      </c>
      <c r="B170" s="25" t="s">
        <v>550</v>
      </c>
      <c r="C170" s="25" t="s">
        <v>551</v>
      </c>
      <c r="D170" s="25" t="s">
        <v>552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673</f>
        <v>673</v>
      </c>
      <c r="L170" s="32" t="s">
        <v>904</v>
      </c>
      <c r="M170" s="31">
        <f>673</f>
        <v>673</v>
      </c>
      <c r="N170" s="32" t="s">
        <v>904</v>
      </c>
      <c r="O170" s="31">
        <f>623</f>
        <v>623</v>
      </c>
      <c r="P170" s="32" t="s">
        <v>66</v>
      </c>
      <c r="Q170" s="31">
        <f>650.1</f>
        <v>650.1</v>
      </c>
      <c r="R170" s="32" t="s">
        <v>934</v>
      </c>
      <c r="S170" s="33">
        <f>642.36</f>
        <v>642.36</v>
      </c>
      <c r="T170" s="30">
        <f>236850</f>
        <v>236850</v>
      </c>
      <c r="U170" s="30" t="str">
        <f t="shared" si="7"/>
        <v>－</v>
      </c>
      <c r="V170" s="30">
        <f>152237908</f>
        <v>152237908</v>
      </c>
      <c r="W170" s="30" t="str">
        <f t="shared" si="8"/>
        <v>－</v>
      </c>
      <c r="X170" s="34">
        <f>22</f>
        <v>22</v>
      </c>
    </row>
    <row r="171" spans="1:24" x14ac:dyDescent="0.15">
      <c r="A171" s="25" t="s">
        <v>1057</v>
      </c>
      <c r="B171" s="25" t="s">
        <v>553</v>
      </c>
      <c r="C171" s="25" t="s">
        <v>554</v>
      </c>
      <c r="D171" s="25" t="s">
        <v>555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3.7</f>
        <v>3.7</v>
      </c>
      <c r="L171" s="32" t="s">
        <v>904</v>
      </c>
      <c r="M171" s="31">
        <f>3.8</f>
        <v>3.8</v>
      </c>
      <c r="N171" s="32" t="s">
        <v>904</v>
      </c>
      <c r="O171" s="31">
        <f>2.3</f>
        <v>2.2999999999999998</v>
      </c>
      <c r="P171" s="32" t="s">
        <v>934</v>
      </c>
      <c r="Q171" s="31">
        <f>2.4</f>
        <v>2.4</v>
      </c>
      <c r="R171" s="32" t="s">
        <v>934</v>
      </c>
      <c r="S171" s="33">
        <f>3.03</f>
        <v>3.03</v>
      </c>
      <c r="T171" s="30">
        <f>1374520300</f>
        <v>1374520300</v>
      </c>
      <c r="U171" s="30">
        <f>4100000</f>
        <v>4100000</v>
      </c>
      <c r="V171" s="30">
        <f>4194521940</f>
        <v>4194521940</v>
      </c>
      <c r="W171" s="30">
        <f>10650000</f>
        <v>10650000</v>
      </c>
      <c r="X171" s="34">
        <f>22</f>
        <v>22</v>
      </c>
    </row>
    <row r="172" spans="1:24" x14ac:dyDescent="0.15">
      <c r="A172" s="25" t="s">
        <v>1057</v>
      </c>
      <c r="B172" s="25" t="s">
        <v>556</v>
      </c>
      <c r="C172" s="25" t="s">
        <v>557</v>
      </c>
      <c r="D172" s="25" t="s">
        <v>558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1275.5</f>
        <v>1275.5</v>
      </c>
      <c r="L172" s="32" t="s">
        <v>904</v>
      </c>
      <c r="M172" s="31">
        <f>1275.5</f>
        <v>1275.5</v>
      </c>
      <c r="N172" s="32" t="s">
        <v>904</v>
      </c>
      <c r="O172" s="31">
        <f>1129</f>
        <v>1129</v>
      </c>
      <c r="P172" s="32" t="s">
        <v>911</v>
      </c>
      <c r="Q172" s="31">
        <f>1202</f>
        <v>1202</v>
      </c>
      <c r="R172" s="32" t="s">
        <v>934</v>
      </c>
      <c r="S172" s="33">
        <f>1192.25</f>
        <v>1192.25</v>
      </c>
      <c r="T172" s="30">
        <f>89970</f>
        <v>89970</v>
      </c>
      <c r="U172" s="30" t="str">
        <f t="shared" ref="U172:U179" si="9">"－"</f>
        <v>－</v>
      </c>
      <c r="V172" s="30">
        <f>106117640</f>
        <v>106117640</v>
      </c>
      <c r="W172" s="30" t="str">
        <f t="shared" ref="W172:W179" si="10">"－"</f>
        <v>－</v>
      </c>
      <c r="X172" s="34">
        <f>22</f>
        <v>22</v>
      </c>
    </row>
    <row r="173" spans="1:24" x14ac:dyDescent="0.15">
      <c r="A173" s="25" t="s">
        <v>1057</v>
      </c>
      <c r="B173" s="25" t="s">
        <v>559</v>
      </c>
      <c r="C173" s="25" t="s">
        <v>560</v>
      </c>
      <c r="D173" s="25" t="s">
        <v>561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</v>
      </c>
      <c r="K173" s="31">
        <f>6219</f>
        <v>6219</v>
      </c>
      <c r="L173" s="32" t="s">
        <v>904</v>
      </c>
      <c r="M173" s="31">
        <f>6309</f>
        <v>6309</v>
      </c>
      <c r="N173" s="32" t="s">
        <v>904</v>
      </c>
      <c r="O173" s="31">
        <f>5262</f>
        <v>5262</v>
      </c>
      <c r="P173" s="32" t="s">
        <v>911</v>
      </c>
      <c r="Q173" s="31">
        <f>5913</f>
        <v>5913</v>
      </c>
      <c r="R173" s="32" t="s">
        <v>934</v>
      </c>
      <c r="S173" s="33">
        <f>5726.48</f>
        <v>5726.48</v>
      </c>
      <c r="T173" s="30">
        <f>1787</f>
        <v>1787</v>
      </c>
      <c r="U173" s="30" t="str">
        <f t="shared" si="9"/>
        <v>－</v>
      </c>
      <c r="V173" s="30">
        <f>10220286</f>
        <v>10220286</v>
      </c>
      <c r="W173" s="30" t="str">
        <f t="shared" si="10"/>
        <v>－</v>
      </c>
      <c r="X173" s="34">
        <f>21</f>
        <v>21</v>
      </c>
    </row>
    <row r="174" spans="1:24" x14ac:dyDescent="0.15">
      <c r="A174" s="25" t="s">
        <v>1057</v>
      </c>
      <c r="B174" s="25" t="s">
        <v>562</v>
      </c>
      <c r="C174" s="25" t="s">
        <v>563</v>
      </c>
      <c r="D174" s="25" t="s">
        <v>564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468</f>
        <v>468</v>
      </c>
      <c r="L174" s="32" t="s">
        <v>904</v>
      </c>
      <c r="M174" s="31">
        <f>474.9</f>
        <v>474.9</v>
      </c>
      <c r="N174" s="32" t="s">
        <v>810</v>
      </c>
      <c r="O174" s="31">
        <f>423.7</f>
        <v>423.7</v>
      </c>
      <c r="P174" s="32" t="s">
        <v>934</v>
      </c>
      <c r="Q174" s="31">
        <f>423.7</f>
        <v>423.7</v>
      </c>
      <c r="R174" s="32" t="s">
        <v>934</v>
      </c>
      <c r="S174" s="33">
        <f>449.66</f>
        <v>449.66</v>
      </c>
      <c r="T174" s="30">
        <f>124800</f>
        <v>124800</v>
      </c>
      <c r="U174" s="30" t="str">
        <f t="shared" si="9"/>
        <v>－</v>
      </c>
      <c r="V174" s="30">
        <f>56187270</f>
        <v>56187270</v>
      </c>
      <c r="W174" s="30" t="str">
        <f t="shared" si="10"/>
        <v>－</v>
      </c>
      <c r="X174" s="34">
        <f>22</f>
        <v>22</v>
      </c>
    </row>
    <row r="175" spans="1:24" x14ac:dyDescent="0.15">
      <c r="A175" s="25" t="s">
        <v>1057</v>
      </c>
      <c r="B175" s="25" t="s">
        <v>565</v>
      </c>
      <c r="C175" s="25" t="s">
        <v>566</v>
      </c>
      <c r="D175" s="25" t="s">
        <v>567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4575</f>
        <v>4575</v>
      </c>
      <c r="L175" s="32" t="s">
        <v>904</v>
      </c>
      <c r="M175" s="31">
        <f>4698</f>
        <v>4698</v>
      </c>
      <c r="N175" s="32" t="s">
        <v>911</v>
      </c>
      <c r="O175" s="31">
        <f>4369</f>
        <v>4369</v>
      </c>
      <c r="P175" s="32" t="s">
        <v>812</v>
      </c>
      <c r="Q175" s="31">
        <f>4480</f>
        <v>4480</v>
      </c>
      <c r="R175" s="32" t="s">
        <v>934</v>
      </c>
      <c r="S175" s="33">
        <f>4545.55</f>
        <v>4545.55</v>
      </c>
      <c r="T175" s="30">
        <f>23420</f>
        <v>23420</v>
      </c>
      <c r="U175" s="30" t="str">
        <f t="shared" si="9"/>
        <v>－</v>
      </c>
      <c r="V175" s="30">
        <f>106398920</f>
        <v>106398920</v>
      </c>
      <c r="W175" s="30" t="str">
        <f t="shared" si="10"/>
        <v>－</v>
      </c>
      <c r="X175" s="34">
        <f>22</f>
        <v>22</v>
      </c>
    </row>
    <row r="176" spans="1:24" x14ac:dyDescent="0.15">
      <c r="A176" s="25" t="s">
        <v>1057</v>
      </c>
      <c r="B176" s="25" t="s">
        <v>568</v>
      </c>
      <c r="C176" s="25" t="s">
        <v>569</v>
      </c>
      <c r="D176" s="25" t="s">
        <v>570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3422</f>
        <v>3422</v>
      </c>
      <c r="L176" s="32" t="s">
        <v>904</v>
      </c>
      <c r="M176" s="31">
        <f>3865</f>
        <v>3865</v>
      </c>
      <c r="N176" s="32" t="s">
        <v>912</v>
      </c>
      <c r="O176" s="31">
        <f>3362</f>
        <v>3362</v>
      </c>
      <c r="P176" s="32" t="s">
        <v>87</v>
      </c>
      <c r="Q176" s="31">
        <f>3618</f>
        <v>3618</v>
      </c>
      <c r="R176" s="32" t="s">
        <v>934</v>
      </c>
      <c r="S176" s="33">
        <f>3603.82</f>
        <v>3603.82</v>
      </c>
      <c r="T176" s="30">
        <f>25070</f>
        <v>25070</v>
      </c>
      <c r="U176" s="30" t="str">
        <f t="shared" si="9"/>
        <v>－</v>
      </c>
      <c r="V176" s="30">
        <f>91133820</f>
        <v>91133820</v>
      </c>
      <c r="W176" s="30" t="str">
        <f t="shared" si="10"/>
        <v>－</v>
      </c>
      <c r="X176" s="34">
        <f>22</f>
        <v>22</v>
      </c>
    </row>
    <row r="177" spans="1:24" x14ac:dyDescent="0.15">
      <c r="A177" s="25" t="s">
        <v>1057</v>
      </c>
      <c r="B177" s="25" t="s">
        <v>571</v>
      </c>
      <c r="C177" s="25" t="s">
        <v>572</v>
      </c>
      <c r="D177" s="25" t="s">
        <v>573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100</v>
      </c>
      <c r="K177" s="31">
        <f>107.5</f>
        <v>107.5</v>
      </c>
      <c r="L177" s="32" t="s">
        <v>904</v>
      </c>
      <c r="M177" s="31">
        <f>108</f>
        <v>108</v>
      </c>
      <c r="N177" s="32" t="s">
        <v>904</v>
      </c>
      <c r="O177" s="31">
        <f>97</f>
        <v>97</v>
      </c>
      <c r="P177" s="32" t="s">
        <v>66</v>
      </c>
      <c r="Q177" s="31">
        <f>102.2</f>
        <v>102.2</v>
      </c>
      <c r="R177" s="32" t="s">
        <v>934</v>
      </c>
      <c r="S177" s="33">
        <f>100.97</f>
        <v>100.97</v>
      </c>
      <c r="T177" s="30">
        <f>13460400</f>
        <v>13460400</v>
      </c>
      <c r="U177" s="30" t="str">
        <f t="shared" si="9"/>
        <v>－</v>
      </c>
      <c r="V177" s="30">
        <f>1360798690</f>
        <v>1360798690</v>
      </c>
      <c r="W177" s="30" t="str">
        <f t="shared" si="10"/>
        <v>－</v>
      </c>
      <c r="X177" s="34">
        <f>22</f>
        <v>22</v>
      </c>
    </row>
    <row r="178" spans="1:24" x14ac:dyDescent="0.15">
      <c r="A178" s="25" t="s">
        <v>1057</v>
      </c>
      <c r="B178" s="25" t="s">
        <v>574</v>
      </c>
      <c r="C178" s="25" t="s">
        <v>575</v>
      </c>
      <c r="D178" s="25" t="s">
        <v>576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185.4</f>
        <v>185.4</v>
      </c>
      <c r="L178" s="32" t="s">
        <v>904</v>
      </c>
      <c r="M178" s="31">
        <f>185.5</f>
        <v>185.5</v>
      </c>
      <c r="N178" s="32" t="s">
        <v>904</v>
      </c>
      <c r="O178" s="31">
        <f>169.5</f>
        <v>169.5</v>
      </c>
      <c r="P178" s="32" t="s">
        <v>66</v>
      </c>
      <c r="Q178" s="31">
        <f>180</f>
        <v>180</v>
      </c>
      <c r="R178" s="32" t="s">
        <v>934</v>
      </c>
      <c r="S178" s="33">
        <f>175.16</f>
        <v>175.16</v>
      </c>
      <c r="T178" s="30">
        <f>554400</f>
        <v>554400</v>
      </c>
      <c r="U178" s="30" t="str">
        <f t="shared" si="9"/>
        <v>－</v>
      </c>
      <c r="V178" s="30">
        <f>97547820</f>
        <v>97547820</v>
      </c>
      <c r="W178" s="30" t="str">
        <f t="shared" si="10"/>
        <v>－</v>
      </c>
      <c r="X178" s="34">
        <f>22</f>
        <v>22</v>
      </c>
    </row>
    <row r="179" spans="1:24" x14ac:dyDescent="0.15">
      <c r="A179" s="25" t="s">
        <v>1057</v>
      </c>
      <c r="B179" s="25" t="s">
        <v>577</v>
      </c>
      <c r="C179" s="25" t="s">
        <v>578</v>
      </c>
      <c r="D179" s="25" t="s">
        <v>579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4121</f>
        <v>4121</v>
      </c>
      <c r="L179" s="32" t="s">
        <v>904</v>
      </c>
      <c r="M179" s="31">
        <f>4133</f>
        <v>4133</v>
      </c>
      <c r="N179" s="32" t="s">
        <v>813</v>
      </c>
      <c r="O179" s="31">
        <f>3907</f>
        <v>3907</v>
      </c>
      <c r="P179" s="32" t="s">
        <v>810</v>
      </c>
      <c r="Q179" s="31">
        <f>4098</f>
        <v>4098</v>
      </c>
      <c r="R179" s="32" t="s">
        <v>934</v>
      </c>
      <c r="S179" s="33">
        <f>4030.05</f>
        <v>4030.05</v>
      </c>
      <c r="T179" s="30">
        <f>14940</f>
        <v>14940</v>
      </c>
      <c r="U179" s="30" t="str">
        <f t="shared" si="9"/>
        <v>－</v>
      </c>
      <c r="V179" s="30">
        <f>60025230</f>
        <v>60025230</v>
      </c>
      <c r="W179" s="30" t="str">
        <f t="shared" si="10"/>
        <v>－</v>
      </c>
      <c r="X179" s="34">
        <f>22</f>
        <v>22</v>
      </c>
    </row>
    <row r="180" spans="1:24" x14ac:dyDescent="0.15">
      <c r="A180" s="25" t="s">
        <v>1057</v>
      </c>
      <c r="B180" s="25" t="s">
        <v>580</v>
      </c>
      <c r="C180" s="25" t="s">
        <v>581</v>
      </c>
      <c r="D180" s="25" t="s">
        <v>582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2111</f>
        <v>2111</v>
      </c>
      <c r="L180" s="32" t="s">
        <v>904</v>
      </c>
      <c r="M180" s="31">
        <f>2111</f>
        <v>2111</v>
      </c>
      <c r="N180" s="32" t="s">
        <v>904</v>
      </c>
      <c r="O180" s="31">
        <f>2033.5</f>
        <v>2033.5</v>
      </c>
      <c r="P180" s="32" t="s">
        <v>87</v>
      </c>
      <c r="Q180" s="31">
        <f>2047.5</f>
        <v>2047.5</v>
      </c>
      <c r="R180" s="32" t="s">
        <v>934</v>
      </c>
      <c r="S180" s="33">
        <f>2064.57</f>
        <v>2064.5700000000002</v>
      </c>
      <c r="T180" s="30">
        <f>210840</f>
        <v>210840</v>
      </c>
      <c r="U180" s="30">
        <f>49400</f>
        <v>49400</v>
      </c>
      <c r="V180" s="30">
        <f>433524690</f>
        <v>433524690</v>
      </c>
      <c r="W180" s="30">
        <f>101935850</f>
        <v>101935850</v>
      </c>
      <c r="X180" s="34">
        <f>22</f>
        <v>22</v>
      </c>
    </row>
    <row r="181" spans="1:24" x14ac:dyDescent="0.15">
      <c r="A181" s="25" t="s">
        <v>1057</v>
      </c>
      <c r="B181" s="25" t="s">
        <v>583</v>
      </c>
      <c r="C181" s="25" t="s">
        <v>584</v>
      </c>
      <c r="D181" s="25" t="s">
        <v>585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347</f>
        <v>347</v>
      </c>
      <c r="L181" s="32" t="s">
        <v>904</v>
      </c>
      <c r="M181" s="31">
        <f>347.3</f>
        <v>347.3</v>
      </c>
      <c r="N181" s="32" t="s">
        <v>904</v>
      </c>
      <c r="O181" s="31">
        <f>308.2</f>
        <v>308.2</v>
      </c>
      <c r="P181" s="32" t="s">
        <v>813</v>
      </c>
      <c r="Q181" s="31">
        <f>328.6</f>
        <v>328.6</v>
      </c>
      <c r="R181" s="32" t="s">
        <v>934</v>
      </c>
      <c r="S181" s="33">
        <f>325.76</f>
        <v>325.76</v>
      </c>
      <c r="T181" s="30">
        <f>27997010</f>
        <v>27997010</v>
      </c>
      <c r="U181" s="30">
        <f>65510</f>
        <v>65510</v>
      </c>
      <c r="V181" s="30">
        <f>9107826167</f>
        <v>9107826167</v>
      </c>
      <c r="W181" s="30">
        <f>21537270</f>
        <v>21537270</v>
      </c>
      <c r="X181" s="34">
        <f>22</f>
        <v>22</v>
      </c>
    </row>
    <row r="182" spans="1:24" x14ac:dyDescent="0.15">
      <c r="A182" s="25" t="s">
        <v>1057</v>
      </c>
      <c r="B182" s="25" t="s">
        <v>586</v>
      </c>
      <c r="C182" s="25" t="s">
        <v>587</v>
      </c>
      <c r="D182" s="25" t="s">
        <v>588</v>
      </c>
      <c r="E182" s="26" t="s">
        <v>45</v>
      </c>
      <c r="F182" s="27" t="s">
        <v>45</v>
      </c>
      <c r="G182" s="28" t="s">
        <v>45</v>
      </c>
      <c r="H182" s="29"/>
      <c r="I182" s="29" t="s">
        <v>589</v>
      </c>
      <c r="J182" s="30">
        <v>1</v>
      </c>
      <c r="K182" s="31">
        <f>5460</f>
        <v>5460</v>
      </c>
      <c r="L182" s="32" t="s">
        <v>904</v>
      </c>
      <c r="M182" s="31">
        <f>6000</f>
        <v>6000</v>
      </c>
      <c r="N182" s="32" t="s">
        <v>94</v>
      </c>
      <c r="O182" s="31">
        <f>5200</f>
        <v>5200</v>
      </c>
      <c r="P182" s="32" t="s">
        <v>909</v>
      </c>
      <c r="Q182" s="31">
        <f>5760</f>
        <v>5760</v>
      </c>
      <c r="R182" s="32" t="s">
        <v>934</v>
      </c>
      <c r="S182" s="33">
        <f>5657.73</f>
        <v>5657.73</v>
      </c>
      <c r="T182" s="30">
        <f>182171</f>
        <v>182171</v>
      </c>
      <c r="U182" s="30">
        <f>7</f>
        <v>7</v>
      </c>
      <c r="V182" s="30">
        <f>1032205890</f>
        <v>1032205890</v>
      </c>
      <c r="W182" s="30">
        <f>40320</f>
        <v>40320</v>
      </c>
      <c r="X182" s="34">
        <f>22</f>
        <v>22</v>
      </c>
    </row>
    <row r="183" spans="1:24" x14ac:dyDescent="0.15">
      <c r="A183" s="25" t="s">
        <v>1057</v>
      </c>
      <c r="B183" s="25" t="s">
        <v>590</v>
      </c>
      <c r="C183" s="25" t="s">
        <v>591</v>
      </c>
      <c r="D183" s="25" t="s">
        <v>592</v>
      </c>
      <c r="E183" s="26" t="s">
        <v>45</v>
      </c>
      <c r="F183" s="27" t="s">
        <v>45</v>
      </c>
      <c r="G183" s="28" t="s">
        <v>45</v>
      </c>
      <c r="H183" s="29"/>
      <c r="I183" s="29" t="s">
        <v>589</v>
      </c>
      <c r="J183" s="30">
        <v>1</v>
      </c>
      <c r="K183" s="31">
        <f>8206</f>
        <v>8206</v>
      </c>
      <c r="L183" s="32" t="s">
        <v>904</v>
      </c>
      <c r="M183" s="31">
        <f>8355</f>
        <v>8355</v>
      </c>
      <c r="N183" s="32" t="s">
        <v>904</v>
      </c>
      <c r="O183" s="31">
        <f>7455</f>
        <v>7455</v>
      </c>
      <c r="P183" s="32" t="s">
        <v>934</v>
      </c>
      <c r="Q183" s="31">
        <f>7560</f>
        <v>7560</v>
      </c>
      <c r="R183" s="32" t="s">
        <v>934</v>
      </c>
      <c r="S183" s="33">
        <f>7918</f>
        <v>7918</v>
      </c>
      <c r="T183" s="30">
        <f>23456</f>
        <v>23456</v>
      </c>
      <c r="U183" s="30" t="str">
        <f>"－"</f>
        <v>－</v>
      </c>
      <c r="V183" s="30">
        <f>186299108</f>
        <v>186299108</v>
      </c>
      <c r="W183" s="30" t="str">
        <f>"－"</f>
        <v>－</v>
      </c>
      <c r="X183" s="34">
        <f>22</f>
        <v>22</v>
      </c>
    </row>
    <row r="184" spans="1:24" x14ac:dyDescent="0.15">
      <c r="A184" s="25" t="s">
        <v>1057</v>
      </c>
      <c r="B184" s="25" t="s">
        <v>593</v>
      </c>
      <c r="C184" s="25" t="s">
        <v>594</v>
      </c>
      <c r="D184" s="25" t="s">
        <v>595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10805</f>
        <v>10805</v>
      </c>
      <c r="L184" s="32" t="s">
        <v>904</v>
      </c>
      <c r="M184" s="31">
        <f>11550</f>
        <v>11550</v>
      </c>
      <c r="N184" s="32" t="s">
        <v>904</v>
      </c>
      <c r="O184" s="31">
        <f>9061</f>
        <v>9061</v>
      </c>
      <c r="P184" s="32" t="s">
        <v>934</v>
      </c>
      <c r="Q184" s="31">
        <f>9284</f>
        <v>9284</v>
      </c>
      <c r="R184" s="32" t="s">
        <v>934</v>
      </c>
      <c r="S184" s="33">
        <f>10165.69</f>
        <v>10165.69</v>
      </c>
      <c r="T184" s="30">
        <f>388</f>
        <v>388</v>
      </c>
      <c r="U184" s="30" t="str">
        <f>"－"</f>
        <v>－</v>
      </c>
      <c r="V184" s="30">
        <f>3939236</f>
        <v>3939236</v>
      </c>
      <c r="W184" s="30" t="str">
        <f>"－"</f>
        <v>－</v>
      </c>
      <c r="X184" s="34">
        <f>16</f>
        <v>16</v>
      </c>
    </row>
    <row r="185" spans="1:24" x14ac:dyDescent="0.15">
      <c r="A185" s="25" t="s">
        <v>1057</v>
      </c>
      <c r="B185" s="25" t="s">
        <v>596</v>
      </c>
      <c r="C185" s="25" t="s">
        <v>597</v>
      </c>
      <c r="D185" s="25" t="s">
        <v>598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8054</f>
        <v>8054</v>
      </c>
      <c r="L185" s="32" t="s">
        <v>904</v>
      </c>
      <c r="M185" s="31">
        <f>8880</f>
        <v>8880</v>
      </c>
      <c r="N185" s="32" t="s">
        <v>934</v>
      </c>
      <c r="O185" s="31">
        <f>7931</f>
        <v>7931</v>
      </c>
      <c r="P185" s="32" t="s">
        <v>904</v>
      </c>
      <c r="Q185" s="31">
        <f>8849</f>
        <v>8849</v>
      </c>
      <c r="R185" s="32" t="s">
        <v>934</v>
      </c>
      <c r="S185" s="33">
        <f>8340.36</f>
        <v>8340.36</v>
      </c>
      <c r="T185" s="30">
        <f>19237</f>
        <v>19237</v>
      </c>
      <c r="U185" s="30" t="str">
        <f>"－"</f>
        <v>－</v>
      </c>
      <c r="V185" s="30">
        <f>161237002</f>
        <v>161237002</v>
      </c>
      <c r="W185" s="30" t="str">
        <f>"－"</f>
        <v>－</v>
      </c>
      <c r="X185" s="34">
        <f>22</f>
        <v>22</v>
      </c>
    </row>
    <row r="186" spans="1:24" x14ac:dyDescent="0.15">
      <c r="A186" s="25" t="s">
        <v>1057</v>
      </c>
      <c r="B186" s="25" t="s">
        <v>602</v>
      </c>
      <c r="C186" s="25" t="s">
        <v>603</v>
      </c>
      <c r="D186" s="25" t="s">
        <v>604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26215</f>
        <v>26215</v>
      </c>
      <c r="L186" s="32" t="s">
        <v>904</v>
      </c>
      <c r="M186" s="31">
        <f>26500</f>
        <v>26500</v>
      </c>
      <c r="N186" s="32" t="s">
        <v>813</v>
      </c>
      <c r="O186" s="31">
        <f>24470</f>
        <v>24470</v>
      </c>
      <c r="P186" s="32" t="s">
        <v>935</v>
      </c>
      <c r="Q186" s="31">
        <f>25520</f>
        <v>25520</v>
      </c>
      <c r="R186" s="32" t="s">
        <v>934</v>
      </c>
      <c r="S186" s="33">
        <f>25774.55</f>
        <v>25774.55</v>
      </c>
      <c r="T186" s="30">
        <f>33047</f>
        <v>33047</v>
      </c>
      <c r="U186" s="30">
        <f>5</f>
        <v>5</v>
      </c>
      <c r="V186" s="30">
        <f>848558140</f>
        <v>848558140</v>
      </c>
      <c r="W186" s="30">
        <f>125075</f>
        <v>125075</v>
      </c>
      <c r="X186" s="34">
        <f>22</f>
        <v>22</v>
      </c>
    </row>
    <row r="187" spans="1:24" x14ac:dyDescent="0.15">
      <c r="A187" s="25" t="s">
        <v>1057</v>
      </c>
      <c r="B187" s="25" t="s">
        <v>605</v>
      </c>
      <c r="C187" s="25" t="s">
        <v>606</v>
      </c>
      <c r="D187" s="25" t="s">
        <v>607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4320</f>
        <v>4320</v>
      </c>
      <c r="L187" s="32" t="s">
        <v>904</v>
      </c>
      <c r="M187" s="31">
        <f>4450</f>
        <v>4450</v>
      </c>
      <c r="N187" s="32" t="s">
        <v>935</v>
      </c>
      <c r="O187" s="31">
        <f>4290</f>
        <v>4290</v>
      </c>
      <c r="P187" s="32" t="s">
        <v>912</v>
      </c>
      <c r="Q187" s="31">
        <f>4355</f>
        <v>4355</v>
      </c>
      <c r="R187" s="32" t="s">
        <v>934</v>
      </c>
      <c r="S187" s="33">
        <f>4355.23</f>
        <v>4355.2299999999996</v>
      </c>
      <c r="T187" s="30">
        <f>9906</f>
        <v>9906</v>
      </c>
      <c r="U187" s="30" t="str">
        <f>"－"</f>
        <v>－</v>
      </c>
      <c r="V187" s="30">
        <f>43343895</f>
        <v>43343895</v>
      </c>
      <c r="W187" s="30" t="str">
        <f>"－"</f>
        <v>－</v>
      </c>
      <c r="X187" s="34">
        <f>22</f>
        <v>22</v>
      </c>
    </row>
    <row r="188" spans="1:24" x14ac:dyDescent="0.15">
      <c r="A188" s="25" t="s">
        <v>1057</v>
      </c>
      <c r="B188" s="25" t="s">
        <v>608</v>
      </c>
      <c r="C188" s="25" t="s">
        <v>609</v>
      </c>
      <c r="D188" s="25" t="s">
        <v>610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1430</f>
        <v>1430</v>
      </c>
      <c r="L188" s="32" t="s">
        <v>904</v>
      </c>
      <c r="M188" s="31">
        <f>1430</f>
        <v>1430</v>
      </c>
      <c r="N188" s="32" t="s">
        <v>904</v>
      </c>
      <c r="O188" s="31">
        <f>1104</f>
        <v>1104</v>
      </c>
      <c r="P188" s="32" t="s">
        <v>87</v>
      </c>
      <c r="Q188" s="31">
        <f>1203</f>
        <v>1203</v>
      </c>
      <c r="R188" s="32" t="s">
        <v>934</v>
      </c>
      <c r="S188" s="33">
        <f>1217.95</f>
        <v>1217.95</v>
      </c>
      <c r="T188" s="30">
        <f>38222769</f>
        <v>38222769</v>
      </c>
      <c r="U188" s="30">
        <f>361455</f>
        <v>361455</v>
      </c>
      <c r="V188" s="30">
        <f>46248990466</f>
        <v>46248990466</v>
      </c>
      <c r="W188" s="30">
        <f>464690031</f>
        <v>464690031</v>
      </c>
      <c r="X188" s="34">
        <f>22</f>
        <v>22</v>
      </c>
    </row>
    <row r="189" spans="1:24" x14ac:dyDescent="0.15">
      <c r="A189" s="25" t="s">
        <v>1057</v>
      </c>
      <c r="B189" s="25" t="s">
        <v>611</v>
      </c>
      <c r="C189" s="25" t="s">
        <v>612</v>
      </c>
      <c r="D189" s="25" t="s">
        <v>613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1435</f>
        <v>1435</v>
      </c>
      <c r="L189" s="32" t="s">
        <v>904</v>
      </c>
      <c r="M189" s="31">
        <f>1615</f>
        <v>1615</v>
      </c>
      <c r="N189" s="32" t="s">
        <v>911</v>
      </c>
      <c r="O189" s="31">
        <f>1435</f>
        <v>1435</v>
      </c>
      <c r="P189" s="32" t="s">
        <v>904</v>
      </c>
      <c r="Q189" s="31">
        <f>1533</f>
        <v>1533</v>
      </c>
      <c r="R189" s="32" t="s">
        <v>934</v>
      </c>
      <c r="S189" s="33">
        <f>1541.41</f>
        <v>1541.41</v>
      </c>
      <c r="T189" s="30">
        <f>1973984</f>
        <v>1973984</v>
      </c>
      <c r="U189" s="30">
        <f>1887</f>
        <v>1887</v>
      </c>
      <c r="V189" s="30">
        <f>3071451124</f>
        <v>3071451124</v>
      </c>
      <c r="W189" s="30">
        <f>2886530</f>
        <v>2886530</v>
      </c>
      <c r="X189" s="34">
        <f>22</f>
        <v>22</v>
      </c>
    </row>
    <row r="190" spans="1:24" x14ac:dyDescent="0.15">
      <c r="A190" s="25" t="s">
        <v>1057</v>
      </c>
      <c r="B190" s="25" t="s">
        <v>614</v>
      </c>
      <c r="C190" s="25" t="s">
        <v>615</v>
      </c>
      <c r="D190" s="25" t="s">
        <v>616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27245</f>
        <v>27245</v>
      </c>
      <c r="L190" s="32" t="s">
        <v>904</v>
      </c>
      <c r="M190" s="31">
        <f>27315</f>
        <v>27315</v>
      </c>
      <c r="N190" s="32" t="s">
        <v>904</v>
      </c>
      <c r="O190" s="31">
        <f>24080</f>
        <v>24080</v>
      </c>
      <c r="P190" s="32" t="s">
        <v>87</v>
      </c>
      <c r="Q190" s="31">
        <f>24905</f>
        <v>24905</v>
      </c>
      <c r="R190" s="32" t="s">
        <v>934</v>
      </c>
      <c r="S190" s="33">
        <f>25669.09</f>
        <v>25669.09</v>
      </c>
      <c r="T190" s="30">
        <f>131783</f>
        <v>131783</v>
      </c>
      <c r="U190" s="30">
        <f>10</f>
        <v>10</v>
      </c>
      <c r="V190" s="30">
        <f>3396925665</f>
        <v>3396925665</v>
      </c>
      <c r="W190" s="30">
        <f>251060</f>
        <v>251060</v>
      </c>
      <c r="X190" s="34">
        <f>22</f>
        <v>22</v>
      </c>
    </row>
    <row r="191" spans="1:24" x14ac:dyDescent="0.15">
      <c r="A191" s="25" t="s">
        <v>1057</v>
      </c>
      <c r="B191" s="25" t="s">
        <v>617</v>
      </c>
      <c r="C191" s="25" t="s">
        <v>618</v>
      </c>
      <c r="D191" s="25" t="s">
        <v>619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2817</f>
        <v>2817</v>
      </c>
      <c r="L191" s="32" t="s">
        <v>904</v>
      </c>
      <c r="M191" s="31">
        <f>3015</f>
        <v>3015</v>
      </c>
      <c r="N191" s="32" t="s">
        <v>87</v>
      </c>
      <c r="O191" s="31">
        <f>2816</f>
        <v>2816</v>
      </c>
      <c r="P191" s="32" t="s">
        <v>904</v>
      </c>
      <c r="Q191" s="31">
        <f>2971</f>
        <v>2971</v>
      </c>
      <c r="R191" s="32" t="s">
        <v>934</v>
      </c>
      <c r="S191" s="33">
        <f>2926.45</f>
        <v>2926.45</v>
      </c>
      <c r="T191" s="30">
        <f>1047096</f>
        <v>1047096</v>
      </c>
      <c r="U191" s="30" t="str">
        <f>"－"</f>
        <v>－</v>
      </c>
      <c r="V191" s="30">
        <f>3061783341</f>
        <v>3061783341</v>
      </c>
      <c r="W191" s="30" t="str">
        <f>"－"</f>
        <v>－</v>
      </c>
      <c r="X191" s="34">
        <f>22</f>
        <v>22</v>
      </c>
    </row>
    <row r="192" spans="1:24" x14ac:dyDescent="0.15">
      <c r="A192" s="25" t="s">
        <v>1057</v>
      </c>
      <c r="B192" s="25" t="s">
        <v>620</v>
      </c>
      <c r="C192" s="25" t="s">
        <v>621</v>
      </c>
      <c r="D192" s="25" t="s">
        <v>622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8670</f>
        <v>8670</v>
      </c>
      <c r="L192" s="32" t="s">
        <v>904</v>
      </c>
      <c r="M192" s="31">
        <f>8679</f>
        <v>8679</v>
      </c>
      <c r="N192" s="32" t="s">
        <v>909</v>
      </c>
      <c r="O192" s="31">
        <f>7461</f>
        <v>7461</v>
      </c>
      <c r="P192" s="32" t="s">
        <v>812</v>
      </c>
      <c r="Q192" s="31">
        <f>7900</f>
        <v>7900</v>
      </c>
      <c r="R192" s="32" t="s">
        <v>934</v>
      </c>
      <c r="S192" s="33">
        <f>8118.18</f>
        <v>8118.18</v>
      </c>
      <c r="T192" s="30">
        <f>83752</f>
        <v>83752</v>
      </c>
      <c r="U192" s="30">
        <f>1</f>
        <v>1</v>
      </c>
      <c r="V192" s="30">
        <f>659883064</f>
        <v>659883064</v>
      </c>
      <c r="W192" s="30">
        <f>7900</f>
        <v>7900</v>
      </c>
      <c r="X192" s="34">
        <f>22</f>
        <v>22</v>
      </c>
    </row>
    <row r="193" spans="1:24" x14ac:dyDescent="0.15">
      <c r="A193" s="25" t="s">
        <v>1057</v>
      </c>
      <c r="B193" s="25" t="s">
        <v>623</v>
      </c>
      <c r="C193" s="25" t="s">
        <v>624</v>
      </c>
      <c r="D193" s="25" t="s">
        <v>625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16780</f>
        <v>16780</v>
      </c>
      <c r="L193" s="32" t="s">
        <v>904</v>
      </c>
      <c r="M193" s="31">
        <f>16780</f>
        <v>16780</v>
      </c>
      <c r="N193" s="32" t="s">
        <v>904</v>
      </c>
      <c r="O193" s="31">
        <f>15560</f>
        <v>15560</v>
      </c>
      <c r="P193" s="32" t="s">
        <v>66</v>
      </c>
      <c r="Q193" s="31">
        <f>16165</f>
        <v>16165</v>
      </c>
      <c r="R193" s="32" t="s">
        <v>934</v>
      </c>
      <c r="S193" s="33">
        <f>16202.25</f>
        <v>16202.25</v>
      </c>
      <c r="T193" s="30">
        <f>749</f>
        <v>749</v>
      </c>
      <c r="U193" s="30" t="str">
        <f>"－"</f>
        <v>－</v>
      </c>
      <c r="V193" s="30">
        <f>12160985</f>
        <v>12160985</v>
      </c>
      <c r="W193" s="30" t="str">
        <f>"－"</f>
        <v>－</v>
      </c>
      <c r="X193" s="34">
        <f>20</f>
        <v>20</v>
      </c>
    </row>
    <row r="194" spans="1:24" x14ac:dyDescent="0.15">
      <c r="A194" s="25" t="s">
        <v>1057</v>
      </c>
      <c r="B194" s="25" t="s">
        <v>626</v>
      </c>
      <c r="C194" s="25" t="s">
        <v>627</v>
      </c>
      <c r="D194" s="25" t="s">
        <v>628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24325</f>
        <v>24325</v>
      </c>
      <c r="L194" s="32" t="s">
        <v>904</v>
      </c>
      <c r="M194" s="31">
        <f>24390</f>
        <v>24390</v>
      </c>
      <c r="N194" s="32" t="s">
        <v>904</v>
      </c>
      <c r="O194" s="31">
        <f>22250</f>
        <v>22250</v>
      </c>
      <c r="P194" s="32" t="s">
        <v>87</v>
      </c>
      <c r="Q194" s="31">
        <f>22805</f>
        <v>22805</v>
      </c>
      <c r="R194" s="32" t="s">
        <v>934</v>
      </c>
      <c r="S194" s="33">
        <f>23429.09</f>
        <v>23429.09</v>
      </c>
      <c r="T194" s="30">
        <f>63481</f>
        <v>63481</v>
      </c>
      <c r="U194" s="30">
        <f>8</f>
        <v>8</v>
      </c>
      <c r="V194" s="30">
        <f>1462766790</f>
        <v>1462766790</v>
      </c>
      <c r="W194" s="30">
        <f>178265</f>
        <v>178265</v>
      </c>
      <c r="X194" s="34">
        <f>22</f>
        <v>22</v>
      </c>
    </row>
    <row r="195" spans="1:24" x14ac:dyDescent="0.15">
      <c r="A195" s="25" t="s">
        <v>1057</v>
      </c>
      <c r="B195" s="25" t="s">
        <v>629</v>
      </c>
      <c r="C195" s="25" t="s">
        <v>630</v>
      </c>
      <c r="D195" s="25" t="s">
        <v>631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14970</f>
        <v>14970</v>
      </c>
      <c r="L195" s="32" t="s">
        <v>904</v>
      </c>
      <c r="M195" s="31">
        <f>15345</f>
        <v>15345</v>
      </c>
      <c r="N195" s="32" t="s">
        <v>70</v>
      </c>
      <c r="O195" s="31">
        <f>14100</f>
        <v>14100</v>
      </c>
      <c r="P195" s="32" t="s">
        <v>66</v>
      </c>
      <c r="Q195" s="31">
        <f>14825</f>
        <v>14825</v>
      </c>
      <c r="R195" s="32" t="s">
        <v>94</v>
      </c>
      <c r="S195" s="33">
        <f>14868.21</f>
        <v>14868.21</v>
      </c>
      <c r="T195" s="30">
        <f>191</f>
        <v>191</v>
      </c>
      <c r="U195" s="30" t="str">
        <f>"－"</f>
        <v>－</v>
      </c>
      <c r="V195" s="30">
        <f>2822720</f>
        <v>2822720</v>
      </c>
      <c r="W195" s="30" t="str">
        <f>"－"</f>
        <v>－</v>
      </c>
      <c r="X195" s="34">
        <f>14</f>
        <v>14</v>
      </c>
    </row>
    <row r="196" spans="1:24" x14ac:dyDescent="0.15">
      <c r="A196" s="25" t="s">
        <v>1057</v>
      </c>
      <c r="B196" s="25" t="s">
        <v>632</v>
      </c>
      <c r="C196" s="25" t="s">
        <v>633</v>
      </c>
      <c r="D196" s="25" t="s">
        <v>634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21200</f>
        <v>21200</v>
      </c>
      <c r="L196" s="32" t="s">
        <v>904</v>
      </c>
      <c r="M196" s="31">
        <f>21330</f>
        <v>21330</v>
      </c>
      <c r="N196" s="32" t="s">
        <v>904</v>
      </c>
      <c r="O196" s="31">
        <f>18350</f>
        <v>18350</v>
      </c>
      <c r="P196" s="32" t="s">
        <v>812</v>
      </c>
      <c r="Q196" s="31">
        <f>18970</f>
        <v>18970</v>
      </c>
      <c r="R196" s="32" t="s">
        <v>934</v>
      </c>
      <c r="S196" s="33">
        <f>19937.27</f>
        <v>19937.27</v>
      </c>
      <c r="T196" s="30">
        <f>34166</f>
        <v>34166</v>
      </c>
      <c r="U196" s="30">
        <f>10</f>
        <v>10</v>
      </c>
      <c r="V196" s="30">
        <f>672681145</f>
        <v>672681145</v>
      </c>
      <c r="W196" s="30">
        <f>199545</f>
        <v>199545</v>
      </c>
      <c r="X196" s="34">
        <f>22</f>
        <v>22</v>
      </c>
    </row>
    <row r="197" spans="1:24" x14ac:dyDescent="0.15">
      <c r="A197" s="25" t="s">
        <v>1057</v>
      </c>
      <c r="B197" s="25" t="s">
        <v>635</v>
      </c>
      <c r="C197" s="25" t="s">
        <v>636</v>
      </c>
      <c r="D197" s="25" t="s">
        <v>637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4020</f>
        <v>4020</v>
      </c>
      <c r="L197" s="32" t="s">
        <v>904</v>
      </c>
      <c r="M197" s="31">
        <f>4185</f>
        <v>4185</v>
      </c>
      <c r="N197" s="32" t="s">
        <v>906</v>
      </c>
      <c r="O197" s="31">
        <f>3960</f>
        <v>3960</v>
      </c>
      <c r="P197" s="32" t="s">
        <v>908</v>
      </c>
      <c r="Q197" s="31">
        <f>4000</f>
        <v>4000</v>
      </c>
      <c r="R197" s="32" t="s">
        <v>934</v>
      </c>
      <c r="S197" s="33">
        <f>4060.91</f>
        <v>4060.91</v>
      </c>
      <c r="T197" s="30">
        <f>14699</f>
        <v>14699</v>
      </c>
      <c r="U197" s="30" t="str">
        <f t="shared" ref="U197:U209" si="11">"－"</f>
        <v>－</v>
      </c>
      <c r="V197" s="30">
        <f>59715250</f>
        <v>59715250</v>
      </c>
      <c r="W197" s="30" t="str">
        <f t="shared" ref="W197:W209" si="12">"－"</f>
        <v>－</v>
      </c>
      <c r="X197" s="34">
        <f>22</f>
        <v>22</v>
      </c>
    </row>
    <row r="198" spans="1:24" x14ac:dyDescent="0.15">
      <c r="A198" s="25" t="s">
        <v>1057</v>
      </c>
      <c r="B198" s="25" t="s">
        <v>638</v>
      </c>
      <c r="C198" s="25" t="s">
        <v>639</v>
      </c>
      <c r="D198" s="25" t="s">
        <v>640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16150</f>
        <v>16150</v>
      </c>
      <c r="L198" s="32" t="s">
        <v>904</v>
      </c>
      <c r="M198" s="31">
        <f>16150</f>
        <v>16150</v>
      </c>
      <c r="N198" s="32" t="s">
        <v>904</v>
      </c>
      <c r="O198" s="31">
        <f>15055</f>
        <v>15055</v>
      </c>
      <c r="P198" s="32" t="s">
        <v>810</v>
      </c>
      <c r="Q198" s="31">
        <f>15555</f>
        <v>15555</v>
      </c>
      <c r="R198" s="32" t="s">
        <v>934</v>
      </c>
      <c r="S198" s="33">
        <f>15544.21</f>
        <v>15544.21</v>
      </c>
      <c r="T198" s="30">
        <f>2655</f>
        <v>2655</v>
      </c>
      <c r="U198" s="30" t="str">
        <f t="shared" si="11"/>
        <v>－</v>
      </c>
      <c r="V198" s="30">
        <f>41488485</f>
        <v>41488485</v>
      </c>
      <c r="W198" s="30" t="str">
        <f t="shared" si="12"/>
        <v>－</v>
      </c>
      <c r="X198" s="34">
        <f>19</f>
        <v>19</v>
      </c>
    </row>
    <row r="199" spans="1:24" x14ac:dyDescent="0.15">
      <c r="A199" s="25" t="s">
        <v>1057</v>
      </c>
      <c r="B199" s="25" t="s">
        <v>641</v>
      </c>
      <c r="C199" s="25" t="s">
        <v>642</v>
      </c>
      <c r="D199" s="25" t="s">
        <v>643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13040</f>
        <v>13040</v>
      </c>
      <c r="L199" s="32" t="s">
        <v>904</v>
      </c>
      <c r="M199" s="31">
        <f>13040</f>
        <v>13040</v>
      </c>
      <c r="N199" s="32" t="s">
        <v>904</v>
      </c>
      <c r="O199" s="31">
        <f>12845</f>
        <v>12845</v>
      </c>
      <c r="P199" s="32" t="s">
        <v>934</v>
      </c>
      <c r="Q199" s="31">
        <f>12845</f>
        <v>12845</v>
      </c>
      <c r="R199" s="32" t="s">
        <v>934</v>
      </c>
      <c r="S199" s="33">
        <f>12943.75</f>
        <v>12943.75</v>
      </c>
      <c r="T199" s="30">
        <f>114</f>
        <v>114</v>
      </c>
      <c r="U199" s="30" t="str">
        <f t="shared" si="11"/>
        <v>－</v>
      </c>
      <c r="V199" s="30">
        <f>1470160</f>
        <v>1470160</v>
      </c>
      <c r="W199" s="30" t="str">
        <f t="shared" si="12"/>
        <v>－</v>
      </c>
      <c r="X199" s="34">
        <f>4</f>
        <v>4</v>
      </c>
    </row>
    <row r="200" spans="1:24" x14ac:dyDescent="0.15">
      <c r="A200" s="25" t="s">
        <v>1057</v>
      </c>
      <c r="B200" s="25" t="s">
        <v>644</v>
      </c>
      <c r="C200" s="25" t="s">
        <v>645</v>
      </c>
      <c r="D200" s="25" t="s">
        <v>646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18795</f>
        <v>18795</v>
      </c>
      <c r="L200" s="32" t="s">
        <v>904</v>
      </c>
      <c r="M200" s="31">
        <f>18795</f>
        <v>18795</v>
      </c>
      <c r="N200" s="32" t="s">
        <v>904</v>
      </c>
      <c r="O200" s="31">
        <f>17620</f>
        <v>17620</v>
      </c>
      <c r="P200" s="32" t="s">
        <v>908</v>
      </c>
      <c r="Q200" s="31">
        <f>18035</f>
        <v>18035</v>
      </c>
      <c r="R200" s="32" t="s">
        <v>936</v>
      </c>
      <c r="S200" s="33">
        <f>18123.53</f>
        <v>18123.53</v>
      </c>
      <c r="T200" s="30">
        <f>2281</f>
        <v>2281</v>
      </c>
      <c r="U200" s="30" t="str">
        <f t="shared" si="11"/>
        <v>－</v>
      </c>
      <c r="V200" s="30">
        <f>41344570</f>
        <v>41344570</v>
      </c>
      <c r="W200" s="30" t="str">
        <f t="shared" si="12"/>
        <v>－</v>
      </c>
      <c r="X200" s="34">
        <f>17</f>
        <v>17</v>
      </c>
    </row>
    <row r="201" spans="1:24" x14ac:dyDescent="0.15">
      <c r="A201" s="25" t="s">
        <v>1057</v>
      </c>
      <c r="B201" s="25" t="s">
        <v>647</v>
      </c>
      <c r="C201" s="25" t="s">
        <v>648</v>
      </c>
      <c r="D201" s="25" t="s">
        <v>649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17115</f>
        <v>17115</v>
      </c>
      <c r="L201" s="32" t="s">
        <v>904</v>
      </c>
      <c r="M201" s="31">
        <f>17180</f>
        <v>17180</v>
      </c>
      <c r="N201" s="32" t="s">
        <v>906</v>
      </c>
      <c r="O201" s="31">
        <f>15615</f>
        <v>15615</v>
      </c>
      <c r="P201" s="32" t="s">
        <v>66</v>
      </c>
      <c r="Q201" s="31">
        <f>16160</f>
        <v>16160</v>
      </c>
      <c r="R201" s="32" t="s">
        <v>94</v>
      </c>
      <c r="S201" s="33">
        <f>16345</f>
        <v>16345</v>
      </c>
      <c r="T201" s="30">
        <f>159</f>
        <v>159</v>
      </c>
      <c r="U201" s="30" t="str">
        <f t="shared" si="11"/>
        <v>－</v>
      </c>
      <c r="V201" s="30">
        <f>2543655</f>
        <v>2543655</v>
      </c>
      <c r="W201" s="30" t="str">
        <f t="shared" si="12"/>
        <v>－</v>
      </c>
      <c r="X201" s="34">
        <f>11</f>
        <v>11</v>
      </c>
    </row>
    <row r="202" spans="1:24" x14ac:dyDescent="0.15">
      <c r="A202" s="25" t="s">
        <v>1057</v>
      </c>
      <c r="B202" s="25" t="s">
        <v>650</v>
      </c>
      <c r="C202" s="25" t="s">
        <v>651</v>
      </c>
      <c r="D202" s="25" t="s">
        <v>652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13535</f>
        <v>13535</v>
      </c>
      <c r="L202" s="32" t="s">
        <v>904</v>
      </c>
      <c r="M202" s="31">
        <f>13535</f>
        <v>13535</v>
      </c>
      <c r="N202" s="32" t="s">
        <v>904</v>
      </c>
      <c r="O202" s="31">
        <f>12680</f>
        <v>12680</v>
      </c>
      <c r="P202" s="32" t="s">
        <v>936</v>
      </c>
      <c r="Q202" s="31">
        <f>12680</f>
        <v>12680</v>
      </c>
      <c r="R202" s="32" t="s">
        <v>936</v>
      </c>
      <c r="S202" s="33">
        <f>13153.33</f>
        <v>13153.33</v>
      </c>
      <c r="T202" s="30">
        <f>427</f>
        <v>427</v>
      </c>
      <c r="U202" s="30" t="str">
        <f t="shared" si="11"/>
        <v>－</v>
      </c>
      <c r="V202" s="30">
        <f>5631105</f>
        <v>5631105</v>
      </c>
      <c r="W202" s="30" t="str">
        <f t="shared" si="12"/>
        <v>－</v>
      </c>
      <c r="X202" s="34">
        <f>6</f>
        <v>6</v>
      </c>
    </row>
    <row r="203" spans="1:24" x14ac:dyDescent="0.15">
      <c r="A203" s="25" t="s">
        <v>1057</v>
      </c>
      <c r="B203" s="25" t="s">
        <v>653</v>
      </c>
      <c r="C203" s="25" t="s">
        <v>654</v>
      </c>
      <c r="D203" s="25" t="s">
        <v>655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15645</f>
        <v>15645</v>
      </c>
      <c r="L203" s="32" t="s">
        <v>915</v>
      </c>
      <c r="M203" s="31">
        <f>15645</f>
        <v>15645</v>
      </c>
      <c r="N203" s="32" t="s">
        <v>915</v>
      </c>
      <c r="O203" s="31">
        <f>15645</f>
        <v>15645</v>
      </c>
      <c r="P203" s="32" t="s">
        <v>915</v>
      </c>
      <c r="Q203" s="31">
        <f>15645</f>
        <v>15645</v>
      </c>
      <c r="R203" s="32" t="s">
        <v>915</v>
      </c>
      <c r="S203" s="33">
        <f>15645</f>
        <v>15645</v>
      </c>
      <c r="T203" s="30">
        <f>220</f>
        <v>220</v>
      </c>
      <c r="U203" s="30" t="str">
        <f t="shared" si="11"/>
        <v>－</v>
      </c>
      <c r="V203" s="30">
        <f>3441900</f>
        <v>3441900</v>
      </c>
      <c r="W203" s="30" t="str">
        <f t="shared" si="12"/>
        <v>－</v>
      </c>
      <c r="X203" s="34">
        <f>1</f>
        <v>1</v>
      </c>
    </row>
    <row r="204" spans="1:24" x14ac:dyDescent="0.15">
      <c r="A204" s="25" t="s">
        <v>1057</v>
      </c>
      <c r="B204" s="25" t="s">
        <v>656</v>
      </c>
      <c r="C204" s="25" t="s">
        <v>657</v>
      </c>
      <c r="D204" s="25" t="s">
        <v>658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 t="str">
        <f>"－"</f>
        <v>－</v>
      </c>
      <c r="L204" s="32"/>
      <c r="M204" s="31" t="str">
        <f>"－"</f>
        <v>－</v>
      </c>
      <c r="N204" s="32"/>
      <c r="O204" s="31" t="str">
        <f>"－"</f>
        <v>－</v>
      </c>
      <c r="P204" s="32"/>
      <c r="Q204" s="31" t="str">
        <f>"－"</f>
        <v>－</v>
      </c>
      <c r="R204" s="32"/>
      <c r="S204" s="33" t="str">
        <f>"－"</f>
        <v>－</v>
      </c>
      <c r="T204" s="30" t="str">
        <f>"－"</f>
        <v>－</v>
      </c>
      <c r="U204" s="30" t="str">
        <f t="shared" si="11"/>
        <v>－</v>
      </c>
      <c r="V204" s="30" t="str">
        <f>"－"</f>
        <v>－</v>
      </c>
      <c r="W204" s="30" t="str">
        <f t="shared" si="12"/>
        <v>－</v>
      </c>
      <c r="X204" s="34" t="str">
        <f>"－"</f>
        <v>－</v>
      </c>
    </row>
    <row r="205" spans="1:24" x14ac:dyDescent="0.15">
      <c r="A205" s="25" t="s">
        <v>1057</v>
      </c>
      <c r="B205" s="25" t="s">
        <v>659</v>
      </c>
      <c r="C205" s="25" t="s">
        <v>660</v>
      </c>
      <c r="D205" s="25" t="s">
        <v>661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9659</f>
        <v>9659</v>
      </c>
      <c r="L205" s="32" t="s">
        <v>909</v>
      </c>
      <c r="M205" s="31">
        <f>9714</f>
        <v>9714</v>
      </c>
      <c r="N205" s="32" t="s">
        <v>56</v>
      </c>
      <c r="O205" s="31">
        <f>9359</f>
        <v>9359</v>
      </c>
      <c r="P205" s="32" t="s">
        <v>66</v>
      </c>
      <c r="Q205" s="31">
        <f>9442</f>
        <v>9442</v>
      </c>
      <c r="R205" s="32" t="s">
        <v>94</v>
      </c>
      <c r="S205" s="33">
        <f>9519</f>
        <v>9519</v>
      </c>
      <c r="T205" s="30">
        <f>1521</f>
        <v>1521</v>
      </c>
      <c r="U205" s="30" t="str">
        <f t="shared" si="11"/>
        <v>－</v>
      </c>
      <c r="V205" s="30">
        <f>14470843</f>
        <v>14470843</v>
      </c>
      <c r="W205" s="30" t="str">
        <f t="shared" si="12"/>
        <v>－</v>
      </c>
      <c r="X205" s="34">
        <f>12</f>
        <v>12</v>
      </c>
    </row>
    <row r="206" spans="1:24" x14ac:dyDescent="0.15">
      <c r="A206" s="25" t="s">
        <v>1057</v>
      </c>
      <c r="B206" s="25" t="s">
        <v>662</v>
      </c>
      <c r="C206" s="25" t="s">
        <v>663</v>
      </c>
      <c r="D206" s="25" t="s">
        <v>664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10410</f>
        <v>10410</v>
      </c>
      <c r="L206" s="32" t="s">
        <v>904</v>
      </c>
      <c r="M206" s="31">
        <f>10410</f>
        <v>10410</v>
      </c>
      <c r="N206" s="32" t="s">
        <v>904</v>
      </c>
      <c r="O206" s="31">
        <f>9569</f>
        <v>9569</v>
      </c>
      <c r="P206" s="32" t="s">
        <v>935</v>
      </c>
      <c r="Q206" s="31">
        <f>9706</f>
        <v>9706</v>
      </c>
      <c r="R206" s="32" t="s">
        <v>934</v>
      </c>
      <c r="S206" s="33">
        <f>9968.73</f>
        <v>9968.73</v>
      </c>
      <c r="T206" s="30">
        <f>31935</f>
        <v>31935</v>
      </c>
      <c r="U206" s="30" t="str">
        <f t="shared" si="11"/>
        <v>－</v>
      </c>
      <c r="V206" s="30">
        <f>317318984</f>
        <v>317318984</v>
      </c>
      <c r="W206" s="30" t="str">
        <f t="shared" si="12"/>
        <v>－</v>
      </c>
      <c r="X206" s="34">
        <f>22</f>
        <v>22</v>
      </c>
    </row>
    <row r="207" spans="1:24" x14ac:dyDescent="0.15">
      <c r="A207" s="25" t="s">
        <v>1057</v>
      </c>
      <c r="B207" s="25" t="s">
        <v>665</v>
      </c>
      <c r="C207" s="25" t="s">
        <v>666</v>
      </c>
      <c r="D207" s="25" t="s">
        <v>667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10245</f>
        <v>10245</v>
      </c>
      <c r="L207" s="32" t="s">
        <v>904</v>
      </c>
      <c r="M207" s="31">
        <f>10245</f>
        <v>10245</v>
      </c>
      <c r="N207" s="32" t="s">
        <v>904</v>
      </c>
      <c r="O207" s="31">
        <f>9804</f>
        <v>9804</v>
      </c>
      <c r="P207" s="32" t="s">
        <v>66</v>
      </c>
      <c r="Q207" s="31">
        <f>9987</f>
        <v>9987</v>
      </c>
      <c r="R207" s="32" t="s">
        <v>936</v>
      </c>
      <c r="S207" s="33">
        <f>10020.36</f>
        <v>10020.36</v>
      </c>
      <c r="T207" s="30">
        <f>5964</f>
        <v>5964</v>
      </c>
      <c r="U207" s="30" t="str">
        <f t="shared" si="11"/>
        <v>－</v>
      </c>
      <c r="V207" s="30">
        <f>59641014</f>
        <v>59641014</v>
      </c>
      <c r="W207" s="30" t="str">
        <f t="shared" si="12"/>
        <v>－</v>
      </c>
      <c r="X207" s="34">
        <f>14</f>
        <v>14</v>
      </c>
    </row>
    <row r="208" spans="1:24" x14ac:dyDescent="0.15">
      <c r="A208" s="25" t="s">
        <v>1057</v>
      </c>
      <c r="B208" s="25" t="s">
        <v>945</v>
      </c>
      <c r="C208" s="25" t="s">
        <v>946</v>
      </c>
      <c r="D208" s="25" t="s">
        <v>947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10215</f>
        <v>10215</v>
      </c>
      <c r="L208" s="32" t="s">
        <v>810</v>
      </c>
      <c r="M208" s="31">
        <f>10215</f>
        <v>10215</v>
      </c>
      <c r="N208" s="32" t="s">
        <v>810</v>
      </c>
      <c r="O208" s="31">
        <f>10215</f>
        <v>10215</v>
      </c>
      <c r="P208" s="32" t="s">
        <v>810</v>
      </c>
      <c r="Q208" s="31">
        <f>10215</f>
        <v>10215</v>
      </c>
      <c r="R208" s="32" t="s">
        <v>810</v>
      </c>
      <c r="S208" s="33">
        <f>10215</f>
        <v>10215</v>
      </c>
      <c r="T208" s="30">
        <f>1</f>
        <v>1</v>
      </c>
      <c r="U208" s="30" t="str">
        <f t="shared" si="11"/>
        <v>－</v>
      </c>
      <c r="V208" s="30">
        <f>10215</f>
        <v>10215</v>
      </c>
      <c r="W208" s="30" t="str">
        <f t="shared" si="12"/>
        <v>－</v>
      </c>
      <c r="X208" s="34">
        <f>1</f>
        <v>1</v>
      </c>
    </row>
    <row r="209" spans="1:24" x14ac:dyDescent="0.15">
      <c r="A209" s="25" t="s">
        <v>1057</v>
      </c>
      <c r="B209" s="25" t="s">
        <v>1058</v>
      </c>
      <c r="C209" s="25" t="s">
        <v>1059</v>
      </c>
      <c r="D209" s="25" t="s">
        <v>1060</v>
      </c>
      <c r="E209" s="26" t="s">
        <v>808</v>
      </c>
      <c r="F209" s="27" t="s">
        <v>809</v>
      </c>
      <c r="G209" s="28" t="s">
        <v>1061</v>
      </c>
      <c r="H209" s="29"/>
      <c r="I209" s="29" t="s">
        <v>46</v>
      </c>
      <c r="J209" s="30">
        <v>10</v>
      </c>
      <c r="K209" s="31">
        <f>1991.5</f>
        <v>1991.5</v>
      </c>
      <c r="L209" s="32" t="s">
        <v>906</v>
      </c>
      <c r="M209" s="31">
        <f>2031</f>
        <v>2031</v>
      </c>
      <c r="N209" s="32" t="s">
        <v>816</v>
      </c>
      <c r="O209" s="31">
        <f>1873.5</f>
        <v>1873.5</v>
      </c>
      <c r="P209" s="32" t="s">
        <v>87</v>
      </c>
      <c r="Q209" s="31">
        <f>1905</f>
        <v>1905</v>
      </c>
      <c r="R209" s="32" t="s">
        <v>934</v>
      </c>
      <c r="S209" s="33">
        <f>1916.18</f>
        <v>1916.18</v>
      </c>
      <c r="T209" s="30">
        <f>18800</f>
        <v>18800</v>
      </c>
      <c r="U209" s="30" t="str">
        <f t="shared" si="11"/>
        <v>－</v>
      </c>
      <c r="V209" s="30">
        <f>36098185</f>
        <v>36098185</v>
      </c>
      <c r="W209" s="30" t="str">
        <f t="shared" si="12"/>
        <v>－</v>
      </c>
      <c r="X209" s="34">
        <f>11</f>
        <v>11</v>
      </c>
    </row>
    <row r="210" spans="1:24" x14ac:dyDescent="0.15">
      <c r="A210" s="25" t="s">
        <v>1057</v>
      </c>
      <c r="B210" s="25" t="s">
        <v>668</v>
      </c>
      <c r="C210" s="25" t="s">
        <v>669</v>
      </c>
      <c r="D210" s="25" t="s">
        <v>670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947.2</f>
        <v>947.2</v>
      </c>
      <c r="L210" s="32" t="s">
        <v>904</v>
      </c>
      <c r="M210" s="31">
        <f>952.6</f>
        <v>952.6</v>
      </c>
      <c r="N210" s="32" t="s">
        <v>695</v>
      </c>
      <c r="O210" s="31">
        <f>883.9</f>
        <v>883.9</v>
      </c>
      <c r="P210" s="32" t="s">
        <v>87</v>
      </c>
      <c r="Q210" s="31">
        <f>933.7</f>
        <v>933.7</v>
      </c>
      <c r="R210" s="32" t="s">
        <v>934</v>
      </c>
      <c r="S210" s="33">
        <f>944.14</f>
        <v>944.14</v>
      </c>
      <c r="T210" s="30">
        <f>1646030</f>
        <v>1646030</v>
      </c>
      <c r="U210" s="30">
        <f>459440</f>
        <v>459440</v>
      </c>
      <c r="V210" s="30">
        <f>1556743886</f>
        <v>1556743886</v>
      </c>
      <c r="W210" s="30">
        <f>436187612</f>
        <v>436187612</v>
      </c>
      <c r="X210" s="34">
        <f>22</f>
        <v>22</v>
      </c>
    </row>
    <row r="211" spans="1:24" x14ac:dyDescent="0.15">
      <c r="A211" s="25" t="s">
        <v>1057</v>
      </c>
      <c r="B211" s="25" t="s">
        <v>671</v>
      </c>
      <c r="C211" s="25" t="s">
        <v>672</v>
      </c>
      <c r="D211" s="25" t="s">
        <v>673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1000</f>
        <v>1000</v>
      </c>
      <c r="L211" s="32" t="s">
        <v>904</v>
      </c>
      <c r="M211" s="31">
        <f>1010.5</f>
        <v>1010.5</v>
      </c>
      <c r="N211" s="32" t="s">
        <v>912</v>
      </c>
      <c r="O211" s="31">
        <f>951.8</f>
        <v>951.8</v>
      </c>
      <c r="P211" s="32" t="s">
        <v>66</v>
      </c>
      <c r="Q211" s="31">
        <f>955</f>
        <v>955</v>
      </c>
      <c r="R211" s="32" t="s">
        <v>934</v>
      </c>
      <c r="S211" s="33">
        <f>986.64</f>
        <v>986.64</v>
      </c>
      <c r="T211" s="30">
        <f>1632060</f>
        <v>1632060</v>
      </c>
      <c r="U211" s="30">
        <f>390650</f>
        <v>390650</v>
      </c>
      <c r="V211" s="30">
        <f>1605629011</f>
        <v>1605629011</v>
      </c>
      <c r="W211" s="30">
        <f>387077644</f>
        <v>387077644</v>
      </c>
      <c r="X211" s="34">
        <f>22</f>
        <v>22</v>
      </c>
    </row>
    <row r="212" spans="1:24" x14ac:dyDescent="0.15">
      <c r="A212" s="25" t="s">
        <v>1057</v>
      </c>
      <c r="B212" s="25" t="s">
        <v>674</v>
      </c>
      <c r="C212" s="25" t="s">
        <v>675</v>
      </c>
      <c r="D212" s="25" t="s">
        <v>676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853.3</f>
        <v>853.3</v>
      </c>
      <c r="L212" s="32" t="s">
        <v>904</v>
      </c>
      <c r="M212" s="31">
        <f>862</f>
        <v>862</v>
      </c>
      <c r="N212" s="32" t="s">
        <v>912</v>
      </c>
      <c r="O212" s="31">
        <f>830.1</f>
        <v>830.1</v>
      </c>
      <c r="P212" s="32" t="s">
        <v>94</v>
      </c>
      <c r="Q212" s="31">
        <f>832</f>
        <v>832</v>
      </c>
      <c r="R212" s="32" t="s">
        <v>934</v>
      </c>
      <c r="S212" s="33">
        <f>847.75</f>
        <v>847.75</v>
      </c>
      <c r="T212" s="30">
        <f>1511440</f>
        <v>1511440</v>
      </c>
      <c r="U212" s="30">
        <f>1038980</f>
        <v>1038980</v>
      </c>
      <c r="V212" s="30">
        <f>1275220826</f>
        <v>1275220826</v>
      </c>
      <c r="W212" s="30">
        <f>875762919</f>
        <v>875762919</v>
      </c>
      <c r="X212" s="34">
        <f>22</f>
        <v>22</v>
      </c>
    </row>
    <row r="213" spans="1:24" x14ac:dyDescent="0.15">
      <c r="A213" s="25" t="s">
        <v>1057</v>
      </c>
      <c r="B213" s="25" t="s">
        <v>677</v>
      </c>
      <c r="C213" s="25" t="s">
        <v>678</v>
      </c>
      <c r="D213" s="25" t="s">
        <v>679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1724</f>
        <v>1724</v>
      </c>
      <c r="L213" s="32" t="s">
        <v>904</v>
      </c>
      <c r="M213" s="31">
        <f>1724</f>
        <v>1724</v>
      </c>
      <c r="N213" s="32" t="s">
        <v>904</v>
      </c>
      <c r="O213" s="31">
        <f>1535</f>
        <v>1535</v>
      </c>
      <c r="P213" s="32" t="s">
        <v>812</v>
      </c>
      <c r="Q213" s="31">
        <f>1576</f>
        <v>1576</v>
      </c>
      <c r="R213" s="32" t="s">
        <v>934</v>
      </c>
      <c r="S213" s="33">
        <f>1632.09</f>
        <v>1632.09</v>
      </c>
      <c r="T213" s="30">
        <f>1057810</f>
        <v>1057810</v>
      </c>
      <c r="U213" s="30">
        <f>646020</f>
        <v>646020</v>
      </c>
      <c r="V213" s="30">
        <f>1699777105</f>
        <v>1699777105</v>
      </c>
      <c r="W213" s="30">
        <f>1030986580</f>
        <v>1030986580</v>
      </c>
      <c r="X213" s="34">
        <f>22</f>
        <v>22</v>
      </c>
    </row>
    <row r="214" spans="1:24" x14ac:dyDescent="0.15">
      <c r="A214" s="25" t="s">
        <v>1057</v>
      </c>
      <c r="B214" s="25" t="s">
        <v>680</v>
      </c>
      <c r="C214" s="25" t="s">
        <v>681</v>
      </c>
      <c r="D214" s="25" t="s">
        <v>682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1351.5</f>
        <v>1351.5</v>
      </c>
      <c r="L214" s="32" t="s">
        <v>904</v>
      </c>
      <c r="M214" s="31">
        <f>1352</f>
        <v>1352</v>
      </c>
      <c r="N214" s="32" t="s">
        <v>904</v>
      </c>
      <c r="O214" s="31">
        <f>1255.5</f>
        <v>1255.5</v>
      </c>
      <c r="P214" s="32" t="s">
        <v>87</v>
      </c>
      <c r="Q214" s="31">
        <f>1279.5</f>
        <v>1279.5</v>
      </c>
      <c r="R214" s="32" t="s">
        <v>934</v>
      </c>
      <c r="S214" s="33">
        <f>1303.52</f>
        <v>1303.52</v>
      </c>
      <c r="T214" s="30">
        <f>203490</f>
        <v>203490</v>
      </c>
      <c r="U214" s="30">
        <f>10</f>
        <v>10</v>
      </c>
      <c r="V214" s="30">
        <f>265591080</f>
        <v>265591080</v>
      </c>
      <c r="W214" s="30">
        <f>12810</f>
        <v>12810</v>
      </c>
      <c r="X214" s="34">
        <f>22</f>
        <v>22</v>
      </c>
    </row>
    <row r="215" spans="1:24" x14ac:dyDescent="0.15">
      <c r="A215" s="25" t="s">
        <v>1057</v>
      </c>
      <c r="B215" s="25" t="s">
        <v>683</v>
      </c>
      <c r="C215" s="25" t="s">
        <v>684</v>
      </c>
      <c r="D215" s="25" t="s">
        <v>685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1226.5</f>
        <v>1226.5</v>
      </c>
      <c r="L215" s="32" t="s">
        <v>904</v>
      </c>
      <c r="M215" s="31">
        <f>1233</f>
        <v>1233</v>
      </c>
      <c r="N215" s="32" t="s">
        <v>904</v>
      </c>
      <c r="O215" s="31">
        <f>1096.5</f>
        <v>1096.5</v>
      </c>
      <c r="P215" s="32" t="s">
        <v>87</v>
      </c>
      <c r="Q215" s="31">
        <f>1121.5</f>
        <v>1121.5</v>
      </c>
      <c r="R215" s="32" t="s">
        <v>934</v>
      </c>
      <c r="S215" s="33">
        <f>1164.39</f>
        <v>1164.3900000000001</v>
      </c>
      <c r="T215" s="30">
        <f>775180</f>
        <v>775180</v>
      </c>
      <c r="U215" s="30">
        <f>233860</f>
        <v>233860</v>
      </c>
      <c r="V215" s="30">
        <f>887429275</f>
        <v>887429275</v>
      </c>
      <c r="W215" s="30">
        <f>263780840</f>
        <v>263780840</v>
      </c>
      <c r="X215" s="34">
        <f>22</f>
        <v>22</v>
      </c>
    </row>
    <row r="216" spans="1:24" x14ac:dyDescent="0.15">
      <c r="A216" s="25" t="s">
        <v>1057</v>
      </c>
      <c r="B216" s="25" t="s">
        <v>686</v>
      </c>
      <c r="C216" s="25" t="s">
        <v>687</v>
      </c>
      <c r="D216" s="25" t="s">
        <v>688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628.5</f>
        <v>628.5</v>
      </c>
      <c r="L216" s="32" t="s">
        <v>904</v>
      </c>
      <c r="M216" s="31">
        <f>629</f>
        <v>629</v>
      </c>
      <c r="N216" s="32" t="s">
        <v>904</v>
      </c>
      <c r="O216" s="31">
        <f>540.2</f>
        <v>540.20000000000005</v>
      </c>
      <c r="P216" s="32" t="s">
        <v>812</v>
      </c>
      <c r="Q216" s="31">
        <f>563.6</f>
        <v>563.6</v>
      </c>
      <c r="R216" s="32" t="s">
        <v>934</v>
      </c>
      <c r="S216" s="33">
        <f>584.98</f>
        <v>584.98</v>
      </c>
      <c r="T216" s="30">
        <f>38272450</f>
        <v>38272450</v>
      </c>
      <c r="U216" s="30">
        <f>930410</f>
        <v>930410</v>
      </c>
      <c r="V216" s="30">
        <f>22166859216</f>
        <v>22166859216</v>
      </c>
      <c r="W216" s="30">
        <f>559607412</f>
        <v>559607412</v>
      </c>
      <c r="X216" s="34">
        <f>22</f>
        <v>22</v>
      </c>
    </row>
    <row r="217" spans="1:24" x14ac:dyDescent="0.15">
      <c r="A217" s="25" t="s">
        <v>1057</v>
      </c>
      <c r="B217" s="25" t="s">
        <v>689</v>
      </c>
      <c r="C217" s="25" t="s">
        <v>690</v>
      </c>
      <c r="D217" s="25" t="s">
        <v>691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1165</f>
        <v>1165</v>
      </c>
      <c r="L217" s="32" t="s">
        <v>904</v>
      </c>
      <c r="M217" s="31">
        <f>1173</f>
        <v>1173</v>
      </c>
      <c r="N217" s="32" t="s">
        <v>906</v>
      </c>
      <c r="O217" s="31">
        <f>1087</f>
        <v>1087</v>
      </c>
      <c r="P217" s="32" t="s">
        <v>87</v>
      </c>
      <c r="Q217" s="31">
        <f>1137</f>
        <v>1137</v>
      </c>
      <c r="R217" s="32" t="s">
        <v>934</v>
      </c>
      <c r="S217" s="33">
        <f>1140.64</f>
        <v>1140.6400000000001</v>
      </c>
      <c r="T217" s="30">
        <f>967270</f>
        <v>967270</v>
      </c>
      <c r="U217" s="30">
        <f>885890</f>
        <v>885890</v>
      </c>
      <c r="V217" s="30">
        <f>1093505398</f>
        <v>1093505398</v>
      </c>
      <c r="W217" s="30">
        <f>1001063963</f>
        <v>1001063963</v>
      </c>
      <c r="X217" s="34">
        <f>22</f>
        <v>22</v>
      </c>
    </row>
    <row r="218" spans="1:24" x14ac:dyDescent="0.15">
      <c r="A218" s="25" t="s">
        <v>1057</v>
      </c>
      <c r="B218" s="25" t="s">
        <v>692</v>
      </c>
      <c r="C218" s="25" t="s">
        <v>693</v>
      </c>
      <c r="D218" s="25" t="s">
        <v>694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1102</f>
        <v>1102</v>
      </c>
      <c r="L218" s="32" t="s">
        <v>904</v>
      </c>
      <c r="M218" s="31">
        <f>1110</f>
        <v>1110</v>
      </c>
      <c r="N218" s="32" t="s">
        <v>909</v>
      </c>
      <c r="O218" s="31">
        <f>1037</f>
        <v>1037</v>
      </c>
      <c r="P218" s="32" t="s">
        <v>936</v>
      </c>
      <c r="Q218" s="31">
        <f>1042</f>
        <v>1042</v>
      </c>
      <c r="R218" s="32" t="s">
        <v>934</v>
      </c>
      <c r="S218" s="33">
        <f>1066.32</f>
        <v>1066.32</v>
      </c>
      <c r="T218" s="30">
        <f>13512</f>
        <v>13512</v>
      </c>
      <c r="U218" s="30" t="str">
        <f>"－"</f>
        <v>－</v>
      </c>
      <c r="V218" s="30">
        <f>14506357</f>
        <v>14506357</v>
      </c>
      <c r="W218" s="30" t="str">
        <f>"－"</f>
        <v>－</v>
      </c>
      <c r="X218" s="34">
        <f>22</f>
        <v>22</v>
      </c>
    </row>
    <row r="219" spans="1:24" x14ac:dyDescent="0.15">
      <c r="A219" s="25" t="s">
        <v>1057</v>
      </c>
      <c r="B219" s="25" t="s">
        <v>696</v>
      </c>
      <c r="C219" s="25" t="s">
        <v>697</v>
      </c>
      <c r="D219" s="25" t="s">
        <v>698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926</f>
        <v>926</v>
      </c>
      <c r="L219" s="32" t="s">
        <v>904</v>
      </c>
      <c r="M219" s="31">
        <f>939.6</f>
        <v>939.6</v>
      </c>
      <c r="N219" s="32" t="s">
        <v>906</v>
      </c>
      <c r="O219" s="31">
        <f>886</f>
        <v>886</v>
      </c>
      <c r="P219" s="32" t="s">
        <v>66</v>
      </c>
      <c r="Q219" s="31">
        <f>889</f>
        <v>889</v>
      </c>
      <c r="R219" s="32" t="s">
        <v>934</v>
      </c>
      <c r="S219" s="33">
        <f>914.18</f>
        <v>914.18</v>
      </c>
      <c r="T219" s="30">
        <f>87830</f>
        <v>87830</v>
      </c>
      <c r="U219" s="30">
        <f>20</f>
        <v>20</v>
      </c>
      <c r="V219" s="30">
        <f>79174771</f>
        <v>79174771</v>
      </c>
      <c r="W219" s="30">
        <f>18624</f>
        <v>18624</v>
      </c>
      <c r="X219" s="34">
        <f>22</f>
        <v>22</v>
      </c>
    </row>
    <row r="220" spans="1:24" x14ac:dyDescent="0.15">
      <c r="A220" s="25" t="s">
        <v>1057</v>
      </c>
      <c r="B220" s="25" t="s">
        <v>699</v>
      </c>
      <c r="C220" s="25" t="s">
        <v>700</v>
      </c>
      <c r="D220" s="25" t="s">
        <v>701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1172.5</f>
        <v>1172.5</v>
      </c>
      <c r="L220" s="32" t="s">
        <v>904</v>
      </c>
      <c r="M220" s="31">
        <f>1180</f>
        <v>1180</v>
      </c>
      <c r="N220" s="32" t="s">
        <v>904</v>
      </c>
      <c r="O220" s="31">
        <f>1090</f>
        <v>1090</v>
      </c>
      <c r="P220" s="32" t="s">
        <v>66</v>
      </c>
      <c r="Q220" s="31">
        <f>1109.5</f>
        <v>1109.5</v>
      </c>
      <c r="R220" s="32" t="s">
        <v>934</v>
      </c>
      <c r="S220" s="33">
        <f>1134.95</f>
        <v>1134.95</v>
      </c>
      <c r="T220" s="30">
        <f>157650</f>
        <v>157650</v>
      </c>
      <c r="U220" s="30" t="str">
        <f>"－"</f>
        <v>－</v>
      </c>
      <c r="V220" s="30">
        <f>178967550</f>
        <v>178967550</v>
      </c>
      <c r="W220" s="30" t="str">
        <f>"－"</f>
        <v>－</v>
      </c>
      <c r="X220" s="34">
        <f>22</f>
        <v>22</v>
      </c>
    </row>
    <row r="221" spans="1:24" x14ac:dyDescent="0.15">
      <c r="A221" s="25" t="s">
        <v>1057</v>
      </c>
      <c r="B221" s="25" t="s">
        <v>702</v>
      </c>
      <c r="C221" s="25" t="s">
        <v>703</v>
      </c>
      <c r="D221" s="25" t="s">
        <v>704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1389.5</f>
        <v>1389.5</v>
      </c>
      <c r="L221" s="32" t="s">
        <v>904</v>
      </c>
      <c r="M221" s="31">
        <f>1390</f>
        <v>1390</v>
      </c>
      <c r="N221" s="32" t="s">
        <v>904</v>
      </c>
      <c r="O221" s="31">
        <f>1282</f>
        <v>1282</v>
      </c>
      <c r="P221" s="32" t="s">
        <v>936</v>
      </c>
      <c r="Q221" s="31">
        <f>1301.5</f>
        <v>1301.5</v>
      </c>
      <c r="R221" s="32" t="s">
        <v>934</v>
      </c>
      <c r="S221" s="33">
        <f>1330.93</f>
        <v>1330.93</v>
      </c>
      <c r="T221" s="30">
        <f>9826140</f>
        <v>9826140</v>
      </c>
      <c r="U221" s="30">
        <f>1260400</f>
        <v>1260400</v>
      </c>
      <c r="V221" s="30">
        <f>13108951765</f>
        <v>13108951765</v>
      </c>
      <c r="W221" s="30">
        <f>1701657850</f>
        <v>1701657850</v>
      </c>
      <c r="X221" s="34">
        <f>22</f>
        <v>22</v>
      </c>
    </row>
    <row r="222" spans="1:24" x14ac:dyDescent="0.15">
      <c r="A222" s="25" t="s">
        <v>1057</v>
      </c>
      <c r="B222" s="25" t="s">
        <v>705</v>
      </c>
      <c r="C222" s="25" t="s">
        <v>706</v>
      </c>
      <c r="D222" s="25" t="s">
        <v>707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3600</f>
        <v>3600</v>
      </c>
      <c r="L222" s="32" t="s">
        <v>904</v>
      </c>
      <c r="M222" s="31">
        <f>3645</f>
        <v>3645</v>
      </c>
      <c r="N222" s="32" t="s">
        <v>695</v>
      </c>
      <c r="O222" s="31">
        <f>3280</f>
        <v>3280</v>
      </c>
      <c r="P222" s="32" t="s">
        <v>936</v>
      </c>
      <c r="Q222" s="31">
        <f>3325</f>
        <v>3325</v>
      </c>
      <c r="R222" s="32" t="s">
        <v>934</v>
      </c>
      <c r="S222" s="33">
        <f>3462.73</f>
        <v>3462.73</v>
      </c>
      <c r="T222" s="30">
        <f>36646</f>
        <v>36646</v>
      </c>
      <c r="U222" s="30" t="str">
        <f>"－"</f>
        <v>－</v>
      </c>
      <c r="V222" s="30">
        <f>125927060</f>
        <v>125927060</v>
      </c>
      <c r="W222" s="30" t="str">
        <f>"－"</f>
        <v>－</v>
      </c>
      <c r="X222" s="34">
        <f>22</f>
        <v>22</v>
      </c>
    </row>
    <row r="223" spans="1:24" x14ac:dyDescent="0.15">
      <c r="A223" s="25" t="s">
        <v>1057</v>
      </c>
      <c r="B223" s="25" t="s">
        <v>708</v>
      </c>
      <c r="C223" s="25" t="s">
        <v>709</v>
      </c>
      <c r="D223" s="25" t="s">
        <v>710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1675</f>
        <v>1675</v>
      </c>
      <c r="L223" s="32" t="s">
        <v>810</v>
      </c>
      <c r="M223" s="31">
        <f>1698</f>
        <v>1698</v>
      </c>
      <c r="N223" s="32" t="s">
        <v>56</v>
      </c>
      <c r="O223" s="31">
        <f>1595</f>
        <v>1595</v>
      </c>
      <c r="P223" s="32" t="s">
        <v>936</v>
      </c>
      <c r="Q223" s="31">
        <f>1595.5</f>
        <v>1595.5</v>
      </c>
      <c r="R223" s="32" t="s">
        <v>934</v>
      </c>
      <c r="S223" s="33">
        <f>1641.03</f>
        <v>1641.03</v>
      </c>
      <c r="T223" s="30">
        <f>2870</f>
        <v>2870</v>
      </c>
      <c r="U223" s="30" t="str">
        <f>"－"</f>
        <v>－</v>
      </c>
      <c r="V223" s="30">
        <f>4701415</f>
        <v>4701415</v>
      </c>
      <c r="W223" s="30" t="str">
        <f>"－"</f>
        <v>－</v>
      </c>
      <c r="X223" s="34">
        <f>17</f>
        <v>17</v>
      </c>
    </row>
    <row r="224" spans="1:24" x14ac:dyDescent="0.15">
      <c r="A224" s="25" t="s">
        <v>1057</v>
      </c>
      <c r="B224" s="25" t="s">
        <v>711</v>
      </c>
      <c r="C224" s="25" t="s">
        <v>712</v>
      </c>
      <c r="D224" s="25" t="s">
        <v>713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2050</f>
        <v>2050</v>
      </c>
      <c r="L224" s="32" t="s">
        <v>904</v>
      </c>
      <c r="M224" s="31">
        <f>2051.5</f>
        <v>2051.5</v>
      </c>
      <c r="N224" s="32" t="s">
        <v>904</v>
      </c>
      <c r="O224" s="31">
        <f>1939.5</f>
        <v>1939.5</v>
      </c>
      <c r="P224" s="32" t="s">
        <v>934</v>
      </c>
      <c r="Q224" s="31">
        <f>1939.5</f>
        <v>1939.5</v>
      </c>
      <c r="R224" s="32" t="s">
        <v>934</v>
      </c>
      <c r="S224" s="33">
        <f>1974.44</f>
        <v>1974.44</v>
      </c>
      <c r="T224" s="30">
        <f>1188040</f>
        <v>1188040</v>
      </c>
      <c r="U224" s="30">
        <f>816000</f>
        <v>816000</v>
      </c>
      <c r="V224" s="30">
        <f>2367911425</f>
        <v>2367911425</v>
      </c>
      <c r="W224" s="30">
        <f>1635429240</f>
        <v>1635429240</v>
      </c>
      <c r="X224" s="34">
        <f>17</f>
        <v>17</v>
      </c>
    </row>
    <row r="225" spans="1:24" x14ac:dyDescent="0.15">
      <c r="A225" s="25" t="s">
        <v>1057</v>
      </c>
      <c r="B225" s="25" t="s">
        <v>714</v>
      </c>
      <c r="C225" s="25" t="s">
        <v>715</v>
      </c>
      <c r="D225" s="25" t="s">
        <v>716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28215</f>
        <v>28215</v>
      </c>
      <c r="L225" s="32" t="s">
        <v>810</v>
      </c>
      <c r="M225" s="31">
        <f>28405</f>
        <v>28405</v>
      </c>
      <c r="N225" s="32" t="s">
        <v>56</v>
      </c>
      <c r="O225" s="31">
        <f>26460</f>
        <v>26460</v>
      </c>
      <c r="P225" s="32" t="s">
        <v>936</v>
      </c>
      <c r="Q225" s="31">
        <f>26615</f>
        <v>26615</v>
      </c>
      <c r="R225" s="32" t="s">
        <v>934</v>
      </c>
      <c r="S225" s="33">
        <f>27522.31</f>
        <v>27522.31</v>
      </c>
      <c r="T225" s="30">
        <f>140003</f>
        <v>140003</v>
      </c>
      <c r="U225" s="30">
        <f>114421</f>
        <v>114421</v>
      </c>
      <c r="V225" s="30">
        <f>3765774397</f>
        <v>3765774397</v>
      </c>
      <c r="W225" s="30">
        <f>3070142742</f>
        <v>3070142742</v>
      </c>
      <c r="X225" s="34">
        <f>13</f>
        <v>13</v>
      </c>
    </row>
    <row r="226" spans="1:24" x14ac:dyDescent="0.15">
      <c r="A226" s="25" t="s">
        <v>1057</v>
      </c>
      <c r="B226" s="25" t="s">
        <v>717</v>
      </c>
      <c r="C226" s="25" t="s">
        <v>718</v>
      </c>
      <c r="D226" s="25" t="s">
        <v>719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18060</f>
        <v>18060</v>
      </c>
      <c r="L226" s="32" t="s">
        <v>909</v>
      </c>
      <c r="M226" s="31">
        <f>18195</f>
        <v>18195</v>
      </c>
      <c r="N226" s="32" t="s">
        <v>915</v>
      </c>
      <c r="O226" s="31">
        <f>17340</f>
        <v>17340</v>
      </c>
      <c r="P226" s="32" t="s">
        <v>936</v>
      </c>
      <c r="Q226" s="31">
        <f>17500</f>
        <v>17500</v>
      </c>
      <c r="R226" s="32" t="s">
        <v>934</v>
      </c>
      <c r="S226" s="33">
        <f>17810.5</f>
        <v>17810.5</v>
      </c>
      <c r="T226" s="30">
        <f>43437</f>
        <v>43437</v>
      </c>
      <c r="U226" s="30">
        <f>22300</f>
        <v>22300</v>
      </c>
      <c r="V226" s="30">
        <f>771149040</f>
        <v>771149040</v>
      </c>
      <c r="W226" s="30">
        <f>395136500</f>
        <v>395136500</v>
      </c>
      <c r="X226" s="34">
        <f>10</f>
        <v>10</v>
      </c>
    </row>
    <row r="227" spans="1:24" x14ac:dyDescent="0.15">
      <c r="A227" s="25" t="s">
        <v>1057</v>
      </c>
      <c r="B227" s="25" t="s">
        <v>720</v>
      </c>
      <c r="C227" s="25" t="s">
        <v>721</v>
      </c>
      <c r="D227" s="25" t="s">
        <v>722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1167.5</f>
        <v>1167.5</v>
      </c>
      <c r="L227" s="32" t="s">
        <v>810</v>
      </c>
      <c r="M227" s="31">
        <f>1173</f>
        <v>1173</v>
      </c>
      <c r="N227" s="32" t="s">
        <v>816</v>
      </c>
      <c r="O227" s="31">
        <f>1103</f>
        <v>1103</v>
      </c>
      <c r="P227" s="32" t="s">
        <v>87</v>
      </c>
      <c r="Q227" s="31">
        <f>1149.5</f>
        <v>1149.5</v>
      </c>
      <c r="R227" s="32" t="s">
        <v>934</v>
      </c>
      <c r="S227" s="33">
        <f>1150.04</f>
        <v>1150.04</v>
      </c>
      <c r="T227" s="30">
        <f>490820</f>
        <v>490820</v>
      </c>
      <c r="U227" s="30" t="str">
        <f>"－"</f>
        <v>－</v>
      </c>
      <c r="V227" s="30">
        <f>562878165</f>
        <v>562878165</v>
      </c>
      <c r="W227" s="30" t="str">
        <f>"－"</f>
        <v>－</v>
      </c>
      <c r="X227" s="34">
        <f>14</f>
        <v>14</v>
      </c>
    </row>
    <row r="228" spans="1:24" x14ac:dyDescent="0.15">
      <c r="A228" s="25" t="s">
        <v>1057</v>
      </c>
      <c r="B228" s="25" t="s">
        <v>723</v>
      </c>
      <c r="C228" s="25" t="s">
        <v>724</v>
      </c>
      <c r="D228" s="25" t="s">
        <v>725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1161</f>
        <v>1161</v>
      </c>
      <c r="L228" s="32" t="s">
        <v>904</v>
      </c>
      <c r="M228" s="31">
        <f>1171</f>
        <v>1171</v>
      </c>
      <c r="N228" s="32" t="s">
        <v>906</v>
      </c>
      <c r="O228" s="31">
        <f>1084</f>
        <v>1084</v>
      </c>
      <c r="P228" s="32" t="s">
        <v>87</v>
      </c>
      <c r="Q228" s="31">
        <f>1131.5</f>
        <v>1131.5</v>
      </c>
      <c r="R228" s="32" t="s">
        <v>934</v>
      </c>
      <c r="S228" s="33">
        <f>1138.79</f>
        <v>1138.79</v>
      </c>
      <c r="T228" s="30">
        <f>739300</f>
        <v>739300</v>
      </c>
      <c r="U228" s="30">
        <f>519900</f>
        <v>519900</v>
      </c>
      <c r="V228" s="30">
        <f>850793714</f>
        <v>850793714</v>
      </c>
      <c r="W228" s="30">
        <f>598714829</f>
        <v>598714829</v>
      </c>
      <c r="X228" s="34">
        <f>21</f>
        <v>21</v>
      </c>
    </row>
    <row r="229" spans="1:24" x14ac:dyDescent="0.15">
      <c r="A229" s="25" t="s">
        <v>1057</v>
      </c>
      <c r="B229" s="25" t="s">
        <v>726</v>
      </c>
      <c r="C229" s="25" t="s">
        <v>727</v>
      </c>
      <c r="D229" s="25" t="s">
        <v>728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1246</f>
        <v>1246</v>
      </c>
      <c r="L229" s="32" t="s">
        <v>904</v>
      </c>
      <c r="M229" s="31">
        <f>1246</f>
        <v>1246</v>
      </c>
      <c r="N229" s="32" t="s">
        <v>904</v>
      </c>
      <c r="O229" s="31">
        <f>1185</f>
        <v>1185</v>
      </c>
      <c r="P229" s="32" t="s">
        <v>935</v>
      </c>
      <c r="Q229" s="31">
        <f>1192</f>
        <v>1192</v>
      </c>
      <c r="R229" s="32" t="s">
        <v>934</v>
      </c>
      <c r="S229" s="33">
        <f>1212.41</f>
        <v>1212.4100000000001</v>
      </c>
      <c r="T229" s="30">
        <f>134304</f>
        <v>134304</v>
      </c>
      <c r="U229" s="30">
        <f>623</f>
        <v>623</v>
      </c>
      <c r="V229" s="30">
        <f>162387127</f>
        <v>162387127</v>
      </c>
      <c r="W229" s="30">
        <f>701634</f>
        <v>701634</v>
      </c>
      <c r="X229" s="34">
        <f>22</f>
        <v>22</v>
      </c>
    </row>
    <row r="230" spans="1:24" x14ac:dyDescent="0.15">
      <c r="A230" s="25" t="s">
        <v>1057</v>
      </c>
      <c r="B230" s="25" t="s">
        <v>729</v>
      </c>
      <c r="C230" s="25" t="s">
        <v>730</v>
      </c>
      <c r="D230" s="25" t="s">
        <v>731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13205</f>
        <v>13205</v>
      </c>
      <c r="L230" s="32" t="s">
        <v>904</v>
      </c>
      <c r="M230" s="31">
        <f>13425</f>
        <v>13425</v>
      </c>
      <c r="N230" s="32" t="s">
        <v>912</v>
      </c>
      <c r="O230" s="31">
        <f>11650</f>
        <v>11650</v>
      </c>
      <c r="P230" s="32" t="s">
        <v>935</v>
      </c>
      <c r="Q230" s="31">
        <f>12435</f>
        <v>12435</v>
      </c>
      <c r="R230" s="32" t="s">
        <v>934</v>
      </c>
      <c r="S230" s="33">
        <f>12807.95</f>
        <v>12807.95</v>
      </c>
      <c r="T230" s="30">
        <f>3746</f>
        <v>3746</v>
      </c>
      <c r="U230" s="30" t="str">
        <f>"－"</f>
        <v>－</v>
      </c>
      <c r="V230" s="30">
        <f>47889225</f>
        <v>47889225</v>
      </c>
      <c r="W230" s="30" t="str">
        <f>"－"</f>
        <v>－</v>
      </c>
      <c r="X230" s="34">
        <f>22</f>
        <v>22</v>
      </c>
    </row>
    <row r="231" spans="1:24" x14ac:dyDescent="0.15">
      <c r="A231" s="25" t="s">
        <v>1057</v>
      </c>
      <c r="B231" s="25" t="s">
        <v>732</v>
      </c>
      <c r="C231" s="25" t="s">
        <v>733</v>
      </c>
      <c r="D231" s="25" t="s">
        <v>734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2110</f>
        <v>2110</v>
      </c>
      <c r="L231" s="32" t="s">
        <v>904</v>
      </c>
      <c r="M231" s="31">
        <f>2123</f>
        <v>2123</v>
      </c>
      <c r="N231" s="32" t="s">
        <v>904</v>
      </c>
      <c r="O231" s="31">
        <f>1950</f>
        <v>1950</v>
      </c>
      <c r="P231" s="32" t="s">
        <v>87</v>
      </c>
      <c r="Q231" s="31">
        <f>2035</f>
        <v>2035</v>
      </c>
      <c r="R231" s="32" t="s">
        <v>934</v>
      </c>
      <c r="S231" s="33">
        <f>2052.55</f>
        <v>2052.5500000000002</v>
      </c>
      <c r="T231" s="30">
        <f>454147</f>
        <v>454147</v>
      </c>
      <c r="U231" s="30">
        <f>442000</f>
        <v>442000</v>
      </c>
      <c r="V231" s="30">
        <f>934098204</f>
        <v>934098204</v>
      </c>
      <c r="W231" s="30">
        <f>909216100</f>
        <v>909216100</v>
      </c>
      <c r="X231" s="34">
        <f>22</f>
        <v>22</v>
      </c>
    </row>
    <row r="232" spans="1:24" x14ac:dyDescent="0.15">
      <c r="A232" s="25" t="s">
        <v>1057</v>
      </c>
      <c r="B232" s="25" t="s">
        <v>735</v>
      </c>
      <c r="C232" s="25" t="s">
        <v>736</v>
      </c>
      <c r="D232" s="25" t="s">
        <v>737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1632.5</f>
        <v>1632.5</v>
      </c>
      <c r="L232" s="32" t="s">
        <v>904</v>
      </c>
      <c r="M232" s="31">
        <f>1690</f>
        <v>1690</v>
      </c>
      <c r="N232" s="32" t="s">
        <v>906</v>
      </c>
      <c r="O232" s="31">
        <f>1495</f>
        <v>1495</v>
      </c>
      <c r="P232" s="32" t="s">
        <v>908</v>
      </c>
      <c r="Q232" s="31">
        <f>1515.5</f>
        <v>1515.5</v>
      </c>
      <c r="R232" s="32" t="s">
        <v>94</v>
      </c>
      <c r="S232" s="33">
        <f>1584.69</f>
        <v>1584.69</v>
      </c>
      <c r="T232" s="30">
        <f>1870</f>
        <v>1870</v>
      </c>
      <c r="U232" s="30" t="str">
        <f>"－"</f>
        <v>－</v>
      </c>
      <c r="V232" s="30">
        <f>2999190</f>
        <v>2999190</v>
      </c>
      <c r="W232" s="30" t="str">
        <f>"－"</f>
        <v>－</v>
      </c>
      <c r="X232" s="34">
        <f>13</f>
        <v>13</v>
      </c>
    </row>
    <row r="233" spans="1:24" x14ac:dyDescent="0.15">
      <c r="A233" s="25" t="s">
        <v>1057</v>
      </c>
      <c r="B233" s="25" t="s">
        <v>738</v>
      </c>
      <c r="C233" s="25" t="s">
        <v>822</v>
      </c>
      <c r="D233" s="25" t="s">
        <v>823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857.1</f>
        <v>857.1</v>
      </c>
      <c r="L233" s="32" t="s">
        <v>904</v>
      </c>
      <c r="M233" s="31">
        <f>862.7</f>
        <v>862.7</v>
      </c>
      <c r="N233" s="32" t="s">
        <v>810</v>
      </c>
      <c r="O233" s="31">
        <f>844.6</f>
        <v>844.6</v>
      </c>
      <c r="P233" s="32" t="s">
        <v>936</v>
      </c>
      <c r="Q233" s="31">
        <f>846</f>
        <v>846</v>
      </c>
      <c r="R233" s="32" t="s">
        <v>934</v>
      </c>
      <c r="S233" s="33">
        <f>854.05</f>
        <v>854.05</v>
      </c>
      <c r="T233" s="30">
        <f>145600</f>
        <v>145600</v>
      </c>
      <c r="U233" s="30">
        <f>84670</f>
        <v>84670</v>
      </c>
      <c r="V233" s="30">
        <f>124550741</f>
        <v>124550741</v>
      </c>
      <c r="W233" s="30">
        <f>72412500</f>
        <v>72412500</v>
      </c>
      <c r="X233" s="34">
        <f>22</f>
        <v>22</v>
      </c>
    </row>
    <row r="234" spans="1:24" x14ac:dyDescent="0.15">
      <c r="A234" s="25" t="s">
        <v>1057</v>
      </c>
      <c r="B234" s="25" t="s">
        <v>739</v>
      </c>
      <c r="C234" s="25" t="s">
        <v>740</v>
      </c>
      <c r="D234" s="25" t="s">
        <v>741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2021</f>
        <v>2021</v>
      </c>
      <c r="L234" s="32" t="s">
        <v>904</v>
      </c>
      <c r="M234" s="31">
        <f>2021</f>
        <v>2021</v>
      </c>
      <c r="N234" s="32" t="s">
        <v>904</v>
      </c>
      <c r="O234" s="31">
        <f>1870</f>
        <v>1870</v>
      </c>
      <c r="P234" s="32" t="s">
        <v>87</v>
      </c>
      <c r="Q234" s="31">
        <f>1948</f>
        <v>1948</v>
      </c>
      <c r="R234" s="32" t="s">
        <v>934</v>
      </c>
      <c r="S234" s="33">
        <f>1966.2</f>
        <v>1966.2</v>
      </c>
      <c r="T234" s="30">
        <f>525830</f>
        <v>525830</v>
      </c>
      <c r="U234" s="30">
        <f>483770</f>
        <v>483770</v>
      </c>
      <c r="V234" s="30">
        <f>1024334473</f>
        <v>1024334473</v>
      </c>
      <c r="W234" s="30">
        <f>943535238</f>
        <v>943535238</v>
      </c>
      <c r="X234" s="34">
        <f>22</f>
        <v>22</v>
      </c>
    </row>
    <row r="235" spans="1:24" x14ac:dyDescent="0.15">
      <c r="A235" s="25" t="s">
        <v>1057</v>
      </c>
      <c r="B235" s="25" t="s">
        <v>742</v>
      </c>
      <c r="C235" s="25" t="s">
        <v>743</v>
      </c>
      <c r="D235" s="25" t="s">
        <v>744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2019</f>
        <v>2019</v>
      </c>
      <c r="L235" s="32" t="s">
        <v>904</v>
      </c>
      <c r="M235" s="31">
        <f>2021</f>
        <v>2021</v>
      </c>
      <c r="N235" s="32" t="s">
        <v>904</v>
      </c>
      <c r="O235" s="31">
        <f>1868</f>
        <v>1868</v>
      </c>
      <c r="P235" s="32" t="s">
        <v>87</v>
      </c>
      <c r="Q235" s="31">
        <f>1945</f>
        <v>1945</v>
      </c>
      <c r="R235" s="32" t="s">
        <v>934</v>
      </c>
      <c r="S235" s="33">
        <f>1963.95</f>
        <v>1963.95</v>
      </c>
      <c r="T235" s="30">
        <f>1065380</f>
        <v>1065380</v>
      </c>
      <c r="U235" s="30">
        <f>846790</f>
        <v>846790</v>
      </c>
      <c r="V235" s="30">
        <f>2100333822</f>
        <v>2100333822</v>
      </c>
      <c r="W235" s="30">
        <f>1674764422</f>
        <v>1674764422</v>
      </c>
      <c r="X235" s="34">
        <f>22</f>
        <v>22</v>
      </c>
    </row>
    <row r="236" spans="1:24" x14ac:dyDescent="0.15">
      <c r="A236" s="25" t="s">
        <v>1057</v>
      </c>
      <c r="B236" s="25" t="s">
        <v>745</v>
      </c>
      <c r="C236" s="25" t="s">
        <v>746</v>
      </c>
      <c r="D236" s="25" t="s">
        <v>747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1971</f>
        <v>1971</v>
      </c>
      <c r="L236" s="32" t="s">
        <v>909</v>
      </c>
      <c r="M236" s="31">
        <f>1986</f>
        <v>1986</v>
      </c>
      <c r="N236" s="32" t="s">
        <v>915</v>
      </c>
      <c r="O236" s="31">
        <f>1904</f>
        <v>1904</v>
      </c>
      <c r="P236" s="32" t="s">
        <v>936</v>
      </c>
      <c r="Q236" s="31">
        <f>1904.5</f>
        <v>1904.5</v>
      </c>
      <c r="R236" s="32" t="s">
        <v>936</v>
      </c>
      <c r="S236" s="33">
        <f>1941.45</f>
        <v>1941.45</v>
      </c>
      <c r="T236" s="30">
        <f>37070</f>
        <v>37070</v>
      </c>
      <c r="U236" s="30" t="str">
        <f>"－"</f>
        <v>－</v>
      </c>
      <c r="V236" s="30">
        <f>70620015</f>
        <v>70620015</v>
      </c>
      <c r="W236" s="30" t="str">
        <f>"－"</f>
        <v>－</v>
      </c>
      <c r="X236" s="34">
        <f>10</f>
        <v>10</v>
      </c>
    </row>
    <row r="237" spans="1:24" x14ac:dyDescent="0.15">
      <c r="A237" s="25" t="s">
        <v>1057</v>
      </c>
      <c r="B237" s="25" t="s">
        <v>748</v>
      </c>
      <c r="C237" s="25" t="s">
        <v>749</v>
      </c>
      <c r="D237" s="25" t="s">
        <v>750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16195</f>
        <v>16195</v>
      </c>
      <c r="L237" s="32" t="s">
        <v>904</v>
      </c>
      <c r="M237" s="31">
        <f>16220</f>
        <v>16220</v>
      </c>
      <c r="N237" s="32" t="s">
        <v>904</v>
      </c>
      <c r="O237" s="31">
        <f>14435</f>
        <v>14435</v>
      </c>
      <c r="P237" s="32" t="s">
        <v>87</v>
      </c>
      <c r="Q237" s="31">
        <f>14615</f>
        <v>14615</v>
      </c>
      <c r="R237" s="32" t="s">
        <v>934</v>
      </c>
      <c r="S237" s="33">
        <f>15212.73</f>
        <v>15212.73</v>
      </c>
      <c r="T237" s="30">
        <f>1764140</f>
        <v>1764140</v>
      </c>
      <c r="U237" s="30">
        <f>12988</f>
        <v>12988</v>
      </c>
      <c r="V237" s="30">
        <f>26839181414</f>
        <v>26839181414</v>
      </c>
      <c r="W237" s="30">
        <f>199851019</f>
        <v>199851019</v>
      </c>
      <c r="X237" s="34">
        <f>22</f>
        <v>22</v>
      </c>
    </row>
    <row r="238" spans="1:24" x14ac:dyDescent="0.15">
      <c r="A238" s="25" t="s">
        <v>1057</v>
      </c>
      <c r="B238" s="25" t="s">
        <v>751</v>
      </c>
      <c r="C238" s="25" t="s">
        <v>752</v>
      </c>
      <c r="D238" s="25" t="s">
        <v>753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14565</f>
        <v>14565</v>
      </c>
      <c r="L238" s="32" t="s">
        <v>904</v>
      </c>
      <c r="M238" s="31">
        <f>14570</f>
        <v>14570</v>
      </c>
      <c r="N238" s="32" t="s">
        <v>904</v>
      </c>
      <c r="O238" s="31">
        <f>13250</f>
        <v>13250</v>
      </c>
      <c r="P238" s="32" t="s">
        <v>87</v>
      </c>
      <c r="Q238" s="31">
        <f>13540</f>
        <v>13540</v>
      </c>
      <c r="R238" s="32" t="s">
        <v>934</v>
      </c>
      <c r="S238" s="33">
        <f>13896.14</f>
        <v>13896.14</v>
      </c>
      <c r="T238" s="30">
        <f>378922</f>
        <v>378922</v>
      </c>
      <c r="U238" s="30">
        <f>22094</f>
        <v>22094</v>
      </c>
      <c r="V238" s="30">
        <f>5258371683</f>
        <v>5258371683</v>
      </c>
      <c r="W238" s="30">
        <f>315216643</f>
        <v>315216643</v>
      </c>
      <c r="X238" s="34">
        <f>22</f>
        <v>22</v>
      </c>
    </row>
    <row r="239" spans="1:24" x14ac:dyDescent="0.15">
      <c r="A239" s="25" t="s">
        <v>1057</v>
      </c>
      <c r="B239" s="25" t="s">
        <v>754</v>
      </c>
      <c r="C239" s="25" t="s">
        <v>755</v>
      </c>
      <c r="D239" s="25" t="s">
        <v>756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25975</f>
        <v>25975</v>
      </c>
      <c r="L239" s="32" t="s">
        <v>909</v>
      </c>
      <c r="M239" s="31">
        <f>26555</f>
        <v>26555</v>
      </c>
      <c r="N239" s="32" t="s">
        <v>812</v>
      </c>
      <c r="O239" s="31">
        <f>25150</f>
        <v>25150</v>
      </c>
      <c r="P239" s="32" t="s">
        <v>936</v>
      </c>
      <c r="Q239" s="31">
        <f>25280</f>
        <v>25280</v>
      </c>
      <c r="R239" s="32" t="s">
        <v>934</v>
      </c>
      <c r="S239" s="33">
        <f>25700.71</f>
        <v>25700.71</v>
      </c>
      <c r="T239" s="30">
        <f>176</f>
        <v>176</v>
      </c>
      <c r="U239" s="30" t="str">
        <f>"－"</f>
        <v>－</v>
      </c>
      <c r="V239" s="30">
        <f>4522065</f>
        <v>4522065</v>
      </c>
      <c r="W239" s="30" t="str">
        <f>"－"</f>
        <v>－</v>
      </c>
      <c r="X239" s="34">
        <f>7</f>
        <v>7</v>
      </c>
    </row>
    <row r="240" spans="1:24" x14ac:dyDescent="0.15">
      <c r="A240" s="25" t="s">
        <v>1057</v>
      </c>
      <c r="B240" s="25" t="s">
        <v>757</v>
      </c>
      <c r="C240" s="25" t="s">
        <v>758</v>
      </c>
      <c r="D240" s="25" t="s">
        <v>759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2517</f>
        <v>2517</v>
      </c>
      <c r="L240" s="32" t="s">
        <v>904</v>
      </c>
      <c r="M240" s="31">
        <f>2533</f>
        <v>2533</v>
      </c>
      <c r="N240" s="32" t="s">
        <v>695</v>
      </c>
      <c r="O240" s="31">
        <f>2390</f>
        <v>2390</v>
      </c>
      <c r="P240" s="32" t="s">
        <v>87</v>
      </c>
      <c r="Q240" s="31">
        <f>2471</f>
        <v>2471</v>
      </c>
      <c r="R240" s="32" t="s">
        <v>934</v>
      </c>
      <c r="S240" s="33">
        <f>2506.23</f>
        <v>2506.23</v>
      </c>
      <c r="T240" s="30">
        <f>242122</f>
        <v>242122</v>
      </c>
      <c r="U240" s="30">
        <f>1148</f>
        <v>1148</v>
      </c>
      <c r="V240" s="30">
        <f>605690396</f>
        <v>605690396</v>
      </c>
      <c r="W240" s="30">
        <f>2906621</f>
        <v>2906621</v>
      </c>
      <c r="X240" s="34">
        <f>22</f>
        <v>22</v>
      </c>
    </row>
    <row r="241" spans="1:24" x14ac:dyDescent="0.15">
      <c r="A241" s="25" t="s">
        <v>1057</v>
      </c>
      <c r="B241" s="25" t="s">
        <v>760</v>
      </c>
      <c r="C241" s="25" t="s">
        <v>761</v>
      </c>
      <c r="D241" s="25" t="s">
        <v>762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2917.5</f>
        <v>2917.5</v>
      </c>
      <c r="L241" s="32" t="s">
        <v>904</v>
      </c>
      <c r="M241" s="31">
        <f>2917.5</f>
        <v>2917.5</v>
      </c>
      <c r="N241" s="32" t="s">
        <v>904</v>
      </c>
      <c r="O241" s="31">
        <f>2729</f>
        <v>2729</v>
      </c>
      <c r="P241" s="32" t="s">
        <v>812</v>
      </c>
      <c r="Q241" s="31">
        <f>2787.5</f>
        <v>2787.5</v>
      </c>
      <c r="R241" s="32" t="s">
        <v>934</v>
      </c>
      <c r="S241" s="33">
        <f>2824.86</f>
        <v>2824.86</v>
      </c>
      <c r="T241" s="30">
        <f>1256360</f>
        <v>1256360</v>
      </c>
      <c r="U241" s="30">
        <f>215100</f>
        <v>215100</v>
      </c>
      <c r="V241" s="30">
        <f>3549680821</f>
        <v>3549680821</v>
      </c>
      <c r="W241" s="30">
        <f>613923826</f>
        <v>613923826</v>
      </c>
      <c r="X241" s="34">
        <f>22</f>
        <v>22</v>
      </c>
    </row>
    <row r="242" spans="1:24" x14ac:dyDescent="0.15">
      <c r="A242" s="25" t="s">
        <v>1057</v>
      </c>
      <c r="B242" s="25" t="s">
        <v>763</v>
      </c>
      <c r="C242" s="25" t="s">
        <v>764</v>
      </c>
      <c r="D242" s="25" t="s">
        <v>765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257.8</f>
        <v>257.8</v>
      </c>
      <c r="L242" s="32" t="s">
        <v>904</v>
      </c>
      <c r="M242" s="31">
        <f>258</f>
        <v>258</v>
      </c>
      <c r="N242" s="32" t="s">
        <v>904</v>
      </c>
      <c r="O242" s="31">
        <f>238.7</f>
        <v>238.7</v>
      </c>
      <c r="P242" s="32" t="s">
        <v>936</v>
      </c>
      <c r="Q242" s="31">
        <f>242.4</f>
        <v>242.4</v>
      </c>
      <c r="R242" s="32" t="s">
        <v>934</v>
      </c>
      <c r="S242" s="33">
        <f>247.83</f>
        <v>247.83</v>
      </c>
      <c r="T242" s="30">
        <f>108921090</f>
        <v>108921090</v>
      </c>
      <c r="U242" s="30">
        <f>24298140</f>
        <v>24298140</v>
      </c>
      <c r="V242" s="30">
        <f>27096290798</f>
        <v>27096290798</v>
      </c>
      <c r="W242" s="30">
        <f>6090337717</f>
        <v>6090337717</v>
      </c>
      <c r="X242" s="34">
        <f>22</f>
        <v>22</v>
      </c>
    </row>
    <row r="243" spans="1:24" x14ac:dyDescent="0.15">
      <c r="A243" s="25" t="s">
        <v>1057</v>
      </c>
      <c r="B243" s="25" t="s">
        <v>766</v>
      </c>
      <c r="C243" s="25" t="s">
        <v>767</v>
      </c>
      <c r="D243" s="25" t="s">
        <v>768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2062</f>
        <v>2062</v>
      </c>
      <c r="L243" s="32" t="s">
        <v>904</v>
      </c>
      <c r="M243" s="31">
        <f>2083</f>
        <v>2083</v>
      </c>
      <c r="N243" s="32" t="s">
        <v>936</v>
      </c>
      <c r="O243" s="31">
        <f>1968</f>
        <v>1968</v>
      </c>
      <c r="P243" s="32" t="s">
        <v>87</v>
      </c>
      <c r="Q243" s="31">
        <f>2049</f>
        <v>2049</v>
      </c>
      <c r="R243" s="32" t="s">
        <v>934</v>
      </c>
      <c r="S243" s="33">
        <f>2019.23</f>
        <v>2019.23</v>
      </c>
      <c r="T243" s="30">
        <f>556073</f>
        <v>556073</v>
      </c>
      <c r="U243" s="30">
        <f>225376</f>
        <v>225376</v>
      </c>
      <c r="V243" s="30">
        <f>1115800388</f>
        <v>1115800388</v>
      </c>
      <c r="W243" s="30">
        <f>447359024</f>
        <v>447359024</v>
      </c>
      <c r="X243" s="34">
        <f>22</f>
        <v>22</v>
      </c>
    </row>
    <row r="244" spans="1:24" x14ac:dyDescent="0.15">
      <c r="A244" s="25" t="s">
        <v>1057</v>
      </c>
      <c r="B244" s="25" t="s">
        <v>769</v>
      </c>
      <c r="C244" s="25" t="s">
        <v>770</v>
      </c>
      <c r="D244" s="25" t="s">
        <v>771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1072</f>
        <v>1072</v>
      </c>
      <c r="L244" s="32" t="s">
        <v>904</v>
      </c>
      <c r="M244" s="31">
        <f>1072</f>
        <v>1072</v>
      </c>
      <c r="N244" s="32" t="s">
        <v>904</v>
      </c>
      <c r="O244" s="31">
        <f>982</f>
        <v>982</v>
      </c>
      <c r="P244" s="32" t="s">
        <v>87</v>
      </c>
      <c r="Q244" s="31">
        <f>1016</f>
        <v>1016</v>
      </c>
      <c r="R244" s="32" t="s">
        <v>934</v>
      </c>
      <c r="S244" s="33">
        <f>1037</f>
        <v>1037</v>
      </c>
      <c r="T244" s="30">
        <f>118561</f>
        <v>118561</v>
      </c>
      <c r="U244" s="30">
        <f>50824</f>
        <v>50824</v>
      </c>
      <c r="V244" s="30">
        <f>119351693</f>
        <v>119351693</v>
      </c>
      <c r="W244" s="30">
        <f>49934762</f>
        <v>49934762</v>
      </c>
      <c r="X244" s="34">
        <f>22</f>
        <v>22</v>
      </c>
    </row>
    <row r="245" spans="1:24" x14ac:dyDescent="0.15">
      <c r="A245" s="25" t="s">
        <v>1057</v>
      </c>
      <c r="B245" s="25" t="s">
        <v>772</v>
      </c>
      <c r="C245" s="25" t="s">
        <v>773</v>
      </c>
      <c r="D245" s="25" t="s">
        <v>774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1115</f>
        <v>1115</v>
      </c>
      <c r="L245" s="32" t="s">
        <v>904</v>
      </c>
      <c r="M245" s="31">
        <f>1119</f>
        <v>1119</v>
      </c>
      <c r="N245" s="32" t="s">
        <v>909</v>
      </c>
      <c r="O245" s="31">
        <f>1030</f>
        <v>1030</v>
      </c>
      <c r="P245" s="32" t="s">
        <v>87</v>
      </c>
      <c r="Q245" s="31">
        <f>1074.5</f>
        <v>1074.5</v>
      </c>
      <c r="R245" s="32" t="s">
        <v>934</v>
      </c>
      <c r="S245" s="33">
        <f>1082.05</f>
        <v>1082.05</v>
      </c>
      <c r="T245" s="30">
        <f>484640</f>
        <v>484640</v>
      </c>
      <c r="U245" s="30">
        <f>467830</f>
        <v>467830</v>
      </c>
      <c r="V245" s="30">
        <f>517882685</f>
        <v>517882685</v>
      </c>
      <c r="W245" s="30">
        <f>499698215</f>
        <v>499698215</v>
      </c>
      <c r="X245" s="34">
        <f>22</f>
        <v>22</v>
      </c>
    </row>
    <row r="246" spans="1:24" x14ac:dyDescent="0.15">
      <c r="A246" s="25" t="s">
        <v>1057</v>
      </c>
      <c r="B246" s="25" t="s">
        <v>775</v>
      </c>
      <c r="C246" s="25" t="s">
        <v>776</v>
      </c>
      <c r="D246" s="25" t="s">
        <v>777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251.9</f>
        <v>251.9</v>
      </c>
      <c r="L246" s="32" t="s">
        <v>904</v>
      </c>
      <c r="M246" s="31">
        <f>254.9</f>
        <v>254.9</v>
      </c>
      <c r="N246" s="32" t="s">
        <v>812</v>
      </c>
      <c r="O246" s="31">
        <f>240</f>
        <v>240</v>
      </c>
      <c r="P246" s="32" t="s">
        <v>912</v>
      </c>
      <c r="Q246" s="31">
        <f>248.1</f>
        <v>248.1</v>
      </c>
      <c r="R246" s="32" t="s">
        <v>936</v>
      </c>
      <c r="S246" s="33">
        <f>248.67</f>
        <v>248.67</v>
      </c>
      <c r="T246" s="30">
        <f>7590</f>
        <v>7590</v>
      </c>
      <c r="U246" s="30" t="str">
        <f>"－"</f>
        <v>－</v>
      </c>
      <c r="V246" s="30">
        <f>1878949</f>
        <v>1878949</v>
      </c>
      <c r="W246" s="30" t="str">
        <f>"－"</f>
        <v>－</v>
      </c>
      <c r="X246" s="34">
        <f>19</f>
        <v>19</v>
      </c>
    </row>
    <row r="247" spans="1:24" x14ac:dyDescent="0.15">
      <c r="A247" s="25" t="s">
        <v>1057</v>
      </c>
      <c r="B247" s="25" t="s">
        <v>778</v>
      </c>
      <c r="C247" s="25" t="s">
        <v>779</v>
      </c>
      <c r="D247" s="25" t="s">
        <v>780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2858</f>
        <v>2858</v>
      </c>
      <c r="L247" s="32" t="s">
        <v>904</v>
      </c>
      <c r="M247" s="31">
        <f>2858</f>
        <v>2858</v>
      </c>
      <c r="N247" s="32" t="s">
        <v>904</v>
      </c>
      <c r="O247" s="31">
        <f>2465.5</f>
        <v>2465.5</v>
      </c>
      <c r="P247" s="32" t="s">
        <v>936</v>
      </c>
      <c r="Q247" s="31">
        <f>2496.5</f>
        <v>2496.5</v>
      </c>
      <c r="R247" s="32" t="s">
        <v>934</v>
      </c>
      <c r="S247" s="33">
        <f>2654.77</f>
        <v>2654.77</v>
      </c>
      <c r="T247" s="30">
        <f>1474900</f>
        <v>1474900</v>
      </c>
      <c r="U247" s="30" t="str">
        <f>"－"</f>
        <v>－</v>
      </c>
      <c r="V247" s="30">
        <f>3852335580</f>
        <v>3852335580</v>
      </c>
      <c r="W247" s="30" t="str">
        <f>"－"</f>
        <v>－</v>
      </c>
      <c r="X247" s="34">
        <f>22</f>
        <v>22</v>
      </c>
    </row>
    <row r="248" spans="1:24" x14ac:dyDescent="0.15">
      <c r="A248" s="25" t="s">
        <v>1057</v>
      </c>
      <c r="B248" s="25" t="s">
        <v>781</v>
      </c>
      <c r="C248" s="25" t="s">
        <v>782</v>
      </c>
      <c r="D248" s="25" t="s">
        <v>783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2090</f>
        <v>2090</v>
      </c>
      <c r="L248" s="32" t="s">
        <v>904</v>
      </c>
      <c r="M248" s="31">
        <f>2090.5</f>
        <v>2090.5</v>
      </c>
      <c r="N248" s="32" t="s">
        <v>904</v>
      </c>
      <c r="O248" s="31">
        <f>1850</f>
        <v>1850</v>
      </c>
      <c r="P248" s="32" t="s">
        <v>936</v>
      </c>
      <c r="Q248" s="31">
        <f>1889.5</f>
        <v>1889.5</v>
      </c>
      <c r="R248" s="32" t="s">
        <v>934</v>
      </c>
      <c r="S248" s="33">
        <f>1973.27</f>
        <v>1973.27</v>
      </c>
      <c r="T248" s="30">
        <f>7641440</f>
        <v>7641440</v>
      </c>
      <c r="U248" s="30">
        <f>2038840</f>
        <v>2038840</v>
      </c>
      <c r="V248" s="30">
        <f>15289392918</f>
        <v>15289392918</v>
      </c>
      <c r="W248" s="30">
        <f>4181414763</f>
        <v>4181414763</v>
      </c>
      <c r="X248" s="34">
        <f>22</f>
        <v>22</v>
      </c>
    </row>
    <row r="249" spans="1:24" x14ac:dyDescent="0.15">
      <c r="A249" s="25" t="s">
        <v>1057</v>
      </c>
      <c r="B249" s="25" t="s">
        <v>784</v>
      </c>
      <c r="C249" s="25" t="s">
        <v>785</v>
      </c>
      <c r="D249" s="25" t="s">
        <v>786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305</f>
        <v>305</v>
      </c>
      <c r="L249" s="32" t="s">
        <v>904</v>
      </c>
      <c r="M249" s="31">
        <f>306.3</f>
        <v>306.3</v>
      </c>
      <c r="N249" s="32" t="s">
        <v>906</v>
      </c>
      <c r="O249" s="31">
        <f>292.2</f>
        <v>292.2</v>
      </c>
      <c r="P249" s="32" t="s">
        <v>812</v>
      </c>
      <c r="Q249" s="31">
        <f>294.3</f>
        <v>294.3</v>
      </c>
      <c r="R249" s="32" t="s">
        <v>934</v>
      </c>
      <c r="S249" s="33">
        <f>299.68</f>
        <v>299.68</v>
      </c>
      <c r="T249" s="30">
        <f>60459770</f>
        <v>60459770</v>
      </c>
      <c r="U249" s="30">
        <f>58277090</f>
        <v>58277090</v>
      </c>
      <c r="V249" s="30">
        <f>18186786341</f>
        <v>18186786341</v>
      </c>
      <c r="W249" s="30">
        <f>17535415602</f>
        <v>17535415602</v>
      </c>
      <c r="X249" s="34">
        <f>22</f>
        <v>22</v>
      </c>
    </row>
    <row r="250" spans="1:24" x14ac:dyDescent="0.15">
      <c r="A250" s="25" t="s">
        <v>1057</v>
      </c>
      <c r="B250" s="25" t="s">
        <v>787</v>
      </c>
      <c r="C250" s="25" t="s">
        <v>788</v>
      </c>
      <c r="D250" s="25" t="s">
        <v>789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1500</f>
        <v>1500</v>
      </c>
      <c r="L250" s="32" t="s">
        <v>904</v>
      </c>
      <c r="M250" s="31">
        <f>1598</f>
        <v>1598</v>
      </c>
      <c r="N250" s="32" t="s">
        <v>911</v>
      </c>
      <c r="O250" s="31">
        <f>1451</f>
        <v>1451</v>
      </c>
      <c r="P250" s="32" t="s">
        <v>936</v>
      </c>
      <c r="Q250" s="31">
        <f>1480</f>
        <v>1480</v>
      </c>
      <c r="R250" s="32" t="s">
        <v>934</v>
      </c>
      <c r="S250" s="33">
        <f>1534.05</f>
        <v>1534.05</v>
      </c>
      <c r="T250" s="30">
        <f>9950573</f>
        <v>9950573</v>
      </c>
      <c r="U250" s="30">
        <f>66390</f>
        <v>66390</v>
      </c>
      <c r="V250" s="30">
        <f>15213891827</f>
        <v>15213891827</v>
      </c>
      <c r="W250" s="30">
        <f>103954866</f>
        <v>103954866</v>
      </c>
      <c r="X250" s="34">
        <f>22</f>
        <v>22</v>
      </c>
    </row>
    <row r="251" spans="1:24" x14ac:dyDescent="0.15">
      <c r="A251" s="25" t="s">
        <v>1057</v>
      </c>
      <c r="B251" s="25" t="s">
        <v>790</v>
      </c>
      <c r="C251" s="25" t="s">
        <v>791</v>
      </c>
      <c r="D251" s="25" t="s">
        <v>792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1876</f>
        <v>1876</v>
      </c>
      <c r="L251" s="32" t="s">
        <v>904</v>
      </c>
      <c r="M251" s="31">
        <f>1972</f>
        <v>1972</v>
      </c>
      <c r="N251" s="32" t="s">
        <v>906</v>
      </c>
      <c r="O251" s="31">
        <f>1834</f>
        <v>1834</v>
      </c>
      <c r="P251" s="32" t="s">
        <v>936</v>
      </c>
      <c r="Q251" s="31">
        <f>1842</f>
        <v>1842</v>
      </c>
      <c r="R251" s="32" t="s">
        <v>934</v>
      </c>
      <c r="S251" s="33">
        <f>1869.45</f>
        <v>1869.45</v>
      </c>
      <c r="T251" s="30">
        <f>64445</f>
        <v>64445</v>
      </c>
      <c r="U251" s="30">
        <f>2</f>
        <v>2</v>
      </c>
      <c r="V251" s="30">
        <f>120717448</f>
        <v>120717448</v>
      </c>
      <c r="W251" s="30">
        <f>3741</f>
        <v>3741</v>
      </c>
      <c r="X251" s="34">
        <f>22</f>
        <v>22</v>
      </c>
    </row>
    <row r="252" spans="1:24" x14ac:dyDescent="0.15">
      <c r="A252" s="25" t="s">
        <v>1057</v>
      </c>
      <c r="B252" s="25" t="s">
        <v>793</v>
      </c>
      <c r="C252" s="25" t="s">
        <v>794</v>
      </c>
      <c r="D252" s="25" t="s">
        <v>795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2181</f>
        <v>2181</v>
      </c>
      <c r="L252" s="32" t="s">
        <v>904</v>
      </c>
      <c r="M252" s="31">
        <f>2219</f>
        <v>2219</v>
      </c>
      <c r="N252" s="32" t="s">
        <v>812</v>
      </c>
      <c r="O252" s="31">
        <f>2120</f>
        <v>2120</v>
      </c>
      <c r="P252" s="32" t="s">
        <v>56</v>
      </c>
      <c r="Q252" s="31">
        <f>2133</f>
        <v>2133</v>
      </c>
      <c r="R252" s="32" t="s">
        <v>934</v>
      </c>
      <c r="S252" s="33">
        <f>2156.45</f>
        <v>2156.4499999999998</v>
      </c>
      <c r="T252" s="30">
        <f>448</f>
        <v>448</v>
      </c>
      <c r="U252" s="30" t="str">
        <f>"－"</f>
        <v>－</v>
      </c>
      <c r="V252" s="30">
        <f>975679</f>
        <v>975679</v>
      </c>
      <c r="W252" s="30" t="str">
        <f>"－"</f>
        <v>－</v>
      </c>
      <c r="X252" s="34">
        <f>22</f>
        <v>22</v>
      </c>
    </row>
    <row r="253" spans="1:24" x14ac:dyDescent="0.15">
      <c r="A253" s="25" t="s">
        <v>1057</v>
      </c>
      <c r="B253" s="25" t="s">
        <v>796</v>
      </c>
      <c r="C253" s="25" t="s">
        <v>797</v>
      </c>
      <c r="D253" s="25" t="s">
        <v>798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2856</f>
        <v>2856</v>
      </c>
      <c r="L253" s="32" t="s">
        <v>904</v>
      </c>
      <c r="M253" s="31">
        <f>2858</f>
        <v>2858</v>
      </c>
      <c r="N253" s="32" t="s">
        <v>904</v>
      </c>
      <c r="O253" s="31">
        <f>2610</f>
        <v>2610</v>
      </c>
      <c r="P253" s="32" t="s">
        <v>936</v>
      </c>
      <c r="Q253" s="31">
        <f>2621</f>
        <v>2621</v>
      </c>
      <c r="R253" s="32" t="s">
        <v>934</v>
      </c>
      <c r="S253" s="33">
        <f>2731.86</f>
        <v>2731.86</v>
      </c>
      <c r="T253" s="30">
        <f>451577</f>
        <v>451577</v>
      </c>
      <c r="U253" s="30">
        <f>195001</f>
        <v>195001</v>
      </c>
      <c r="V253" s="30">
        <f>1227017597</f>
        <v>1227017597</v>
      </c>
      <c r="W253" s="30">
        <f>526534821</f>
        <v>526534821</v>
      </c>
      <c r="X253" s="34">
        <f>22</f>
        <v>22</v>
      </c>
    </row>
    <row r="254" spans="1:24" x14ac:dyDescent="0.15">
      <c r="A254" s="25" t="s">
        <v>1057</v>
      </c>
      <c r="B254" s="25" t="s">
        <v>799</v>
      </c>
      <c r="C254" s="25" t="s">
        <v>800</v>
      </c>
      <c r="D254" s="25" t="s">
        <v>801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2004</f>
        <v>2004</v>
      </c>
      <c r="L254" s="32" t="s">
        <v>904</v>
      </c>
      <c r="M254" s="31">
        <f>2004</f>
        <v>2004</v>
      </c>
      <c r="N254" s="32" t="s">
        <v>904</v>
      </c>
      <c r="O254" s="31">
        <f>1888</f>
        <v>1888</v>
      </c>
      <c r="P254" s="32" t="s">
        <v>936</v>
      </c>
      <c r="Q254" s="31">
        <f>1899</f>
        <v>1899</v>
      </c>
      <c r="R254" s="32" t="s">
        <v>934</v>
      </c>
      <c r="S254" s="33">
        <f>1938.64</f>
        <v>1938.64</v>
      </c>
      <c r="T254" s="30">
        <f>118427</f>
        <v>118427</v>
      </c>
      <c r="U254" s="30" t="str">
        <f>"－"</f>
        <v>－</v>
      </c>
      <c r="V254" s="30">
        <f>227382872</f>
        <v>227382872</v>
      </c>
      <c r="W254" s="30" t="str">
        <f>"－"</f>
        <v>－</v>
      </c>
      <c r="X254" s="34">
        <f>22</f>
        <v>22</v>
      </c>
    </row>
    <row r="255" spans="1:24" x14ac:dyDescent="0.15">
      <c r="A255" s="25" t="s">
        <v>1057</v>
      </c>
      <c r="B255" s="25" t="s">
        <v>802</v>
      </c>
      <c r="C255" s="25" t="s">
        <v>803</v>
      </c>
      <c r="D255" s="25" t="s">
        <v>804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1923</f>
        <v>1923</v>
      </c>
      <c r="L255" s="32" t="s">
        <v>904</v>
      </c>
      <c r="M255" s="31">
        <f>1927</f>
        <v>1927</v>
      </c>
      <c r="N255" s="32" t="s">
        <v>904</v>
      </c>
      <c r="O255" s="31">
        <f>1777</f>
        <v>1777</v>
      </c>
      <c r="P255" s="32" t="s">
        <v>66</v>
      </c>
      <c r="Q255" s="31">
        <f>1791</f>
        <v>1791</v>
      </c>
      <c r="R255" s="32" t="s">
        <v>934</v>
      </c>
      <c r="S255" s="33">
        <f>1840.05</f>
        <v>1840.05</v>
      </c>
      <c r="T255" s="30">
        <f>24486</f>
        <v>24486</v>
      </c>
      <c r="U255" s="30" t="str">
        <f>"－"</f>
        <v>－</v>
      </c>
      <c r="V255" s="30">
        <f>44637316</f>
        <v>44637316</v>
      </c>
      <c r="W255" s="30" t="str">
        <f>"－"</f>
        <v>－</v>
      </c>
      <c r="X255" s="34">
        <f>22</f>
        <v>22</v>
      </c>
    </row>
    <row r="256" spans="1:24" x14ac:dyDescent="0.15">
      <c r="A256" s="25" t="s">
        <v>1057</v>
      </c>
      <c r="B256" s="25" t="s">
        <v>805</v>
      </c>
      <c r="C256" s="25" t="s">
        <v>806</v>
      </c>
      <c r="D256" s="25" t="s">
        <v>807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1571</f>
        <v>1571</v>
      </c>
      <c r="L256" s="32" t="s">
        <v>904</v>
      </c>
      <c r="M256" s="31">
        <f>1572</f>
        <v>1572</v>
      </c>
      <c r="N256" s="32" t="s">
        <v>904</v>
      </c>
      <c r="O256" s="31">
        <f>1374</f>
        <v>1374</v>
      </c>
      <c r="P256" s="32" t="s">
        <v>66</v>
      </c>
      <c r="Q256" s="31">
        <f>1402</f>
        <v>1402</v>
      </c>
      <c r="R256" s="32" t="s">
        <v>934</v>
      </c>
      <c r="S256" s="33">
        <f>1460.64</f>
        <v>1460.64</v>
      </c>
      <c r="T256" s="30">
        <f>57925</f>
        <v>57925</v>
      </c>
      <c r="U256" s="30" t="str">
        <f>"－"</f>
        <v>－</v>
      </c>
      <c r="V256" s="30">
        <f>83204961</f>
        <v>83204961</v>
      </c>
      <c r="W256" s="30" t="str">
        <f>"－"</f>
        <v>－</v>
      </c>
      <c r="X256" s="34">
        <f>22</f>
        <v>22</v>
      </c>
    </row>
    <row r="257" spans="1:24" x14ac:dyDescent="0.15">
      <c r="A257" s="25" t="s">
        <v>1057</v>
      </c>
      <c r="B257" s="25" t="s">
        <v>824</v>
      </c>
      <c r="C257" s="25" t="s">
        <v>825</v>
      </c>
      <c r="D257" s="25" t="s">
        <v>826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2055</f>
        <v>2055</v>
      </c>
      <c r="L257" s="32" t="s">
        <v>904</v>
      </c>
      <c r="M257" s="31">
        <f>2055</f>
        <v>2055</v>
      </c>
      <c r="N257" s="32" t="s">
        <v>904</v>
      </c>
      <c r="O257" s="31">
        <f>1765</f>
        <v>1765</v>
      </c>
      <c r="P257" s="32" t="s">
        <v>812</v>
      </c>
      <c r="Q257" s="31">
        <f>1865</f>
        <v>1865</v>
      </c>
      <c r="R257" s="32" t="s">
        <v>934</v>
      </c>
      <c r="S257" s="33">
        <f>1925.64</f>
        <v>1925.64</v>
      </c>
      <c r="T257" s="30">
        <f>30529</f>
        <v>30529</v>
      </c>
      <c r="U257" s="30" t="str">
        <f>"－"</f>
        <v>－</v>
      </c>
      <c r="V257" s="30">
        <f>58060303</f>
        <v>58060303</v>
      </c>
      <c r="W257" s="30" t="str">
        <f>"－"</f>
        <v>－</v>
      </c>
      <c r="X257" s="34">
        <f>22</f>
        <v>22</v>
      </c>
    </row>
    <row r="258" spans="1:24" x14ac:dyDescent="0.15">
      <c r="A258" s="25" t="s">
        <v>1057</v>
      </c>
      <c r="B258" s="25" t="s">
        <v>827</v>
      </c>
      <c r="C258" s="25" t="s">
        <v>828</v>
      </c>
      <c r="D258" s="25" t="s">
        <v>829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2420</f>
        <v>2420</v>
      </c>
      <c r="L258" s="32" t="s">
        <v>904</v>
      </c>
      <c r="M258" s="31">
        <f>2540</f>
        <v>2540</v>
      </c>
      <c r="N258" s="32" t="s">
        <v>813</v>
      </c>
      <c r="O258" s="31">
        <f>2300</f>
        <v>2300</v>
      </c>
      <c r="P258" s="32" t="s">
        <v>66</v>
      </c>
      <c r="Q258" s="31">
        <f>2372</f>
        <v>2372</v>
      </c>
      <c r="R258" s="32" t="s">
        <v>934</v>
      </c>
      <c r="S258" s="33">
        <f>2404.5</f>
        <v>2404.5</v>
      </c>
      <c r="T258" s="30">
        <f>3835</f>
        <v>3835</v>
      </c>
      <c r="U258" s="30" t="str">
        <f>"－"</f>
        <v>－</v>
      </c>
      <c r="V258" s="30">
        <f>9265250</f>
        <v>9265250</v>
      </c>
      <c r="W258" s="30" t="str">
        <f>"－"</f>
        <v>－</v>
      </c>
      <c r="X258" s="34">
        <f>22</f>
        <v>22</v>
      </c>
    </row>
    <row r="259" spans="1:24" x14ac:dyDescent="0.15">
      <c r="A259" s="25" t="s">
        <v>1057</v>
      </c>
      <c r="B259" s="25" t="s">
        <v>830</v>
      </c>
      <c r="C259" s="25" t="s">
        <v>831</v>
      </c>
      <c r="D259" s="25" t="s">
        <v>832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10260</f>
        <v>10260</v>
      </c>
      <c r="L259" s="32" t="s">
        <v>904</v>
      </c>
      <c r="M259" s="31">
        <f>10275</f>
        <v>10275</v>
      </c>
      <c r="N259" s="32" t="s">
        <v>904</v>
      </c>
      <c r="O259" s="31">
        <f>9420</f>
        <v>9420</v>
      </c>
      <c r="P259" s="32" t="s">
        <v>936</v>
      </c>
      <c r="Q259" s="31">
        <f>9569</f>
        <v>9569</v>
      </c>
      <c r="R259" s="32" t="s">
        <v>934</v>
      </c>
      <c r="S259" s="33">
        <f>9788.36</f>
        <v>9788.36</v>
      </c>
      <c r="T259" s="30">
        <f>835368</f>
        <v>835368</v>
      </c>
      <c r="U259" s="30">
        <f>99500</f>
        <v>99500</v>
      </c>
      <c r="V259" s="30">
        <f>8218779128</f>
        <v>8218779128</v>
      </c>
      <c r="W259" s="30">
        <f>992023295</f>
        <v>992023295</v>
      </c>
      <c r="X259" s="34">
        <f>22</f>
        <v>22</v>
      </c>
    </row>
    <row r="260" spans="1:24" x14ac:dyDescent="0.15">
      <c r="A260" s="25" t="s">
        <v>1057</v>
      </c>
      <c r="B260" s="25" t="s">
        <v>833</v>
      </c>
      <c r="C260" s="25" t="s">
        <v>834</v>
      </c>
      <c r="D260" s="25" t="s">
        <v>835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11920</f>
        <v>11920</v>
      </c>
      <c r="L260" s="32" t="s">
        <v>904</v>
      </c>
      <c r="M260" s="31">
        <f>11930</f>
        <v>11930</v>
      </c>
      <c r="N260" s="32" t="s">
        <v>904</v>
      </c>
      <c r="O260" s="31">
        <f>10270</f>
        <v>10270</v>
      </c>
      <c r="P260" s="32" t="s">
        <v>936</v>
      </c>
      <c r="Q260" s="31">
        <f>10400</f>
        <v>10400</v>
      </c>
      <c r="R260" s="32" t="s">
        <v>934</v>
      </c>
      <c r="S260" s="33">
        <f>11062.27</f>
        <v>11062.27</v>
      </c>
      <c r="T260" s="30">
        <f>725823</f>
        <v>725823</v>
      </c>
      <c r="U260" s="30" t="str">
        <f>"－"</f>
        <v>－</v>
      </c>
      <c r="V260" s="30">
        <f>7935901710</f>
        <v>7935901710</v>
      </c>
      <c r="W260" s="30" t="str">
        <f>"－"</f>
        <v>－</v>
      </c>
      <c r="X260" s="34">
        <f>22</f>
        <v>22</v>
      </c>
    </row>
    <row r="261" spans="1:24" x14ac:dyDescent="0.15">
      <c r="A261" s="25" t="s">
        <v>1057</v>
      </c>
      <c r="B261" s="25" t="s">
        <v>836</v>
      </c>
      <c r="C261" s="25" t="s">
        <v>837</v>
      </c>
      <c r="D261" s="25" t="s">
        <v>838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8753</f>
        <v>8753</v>
      </c>
      <c r="L261" s="32" t="s">
        <v>904</v>
      </c>
      <c r="M261" s="31">
        <f>8779</f>
        <v>8779</v>
      </c>
      <c r="N261" s="32" t="s">
        <v>909</v>
      </c>
      <c r="O261" s="31">
        <f>7732</f>
        <v>7732</v>
      </c>
      <c r="P261" s="32" t="s">
        <v>936</v>
      </c>
      <c r="Q261" s="31">
        <f>7895</f>
        <v>7895</v>
      </c>
      <c r="R261" s="32" t="s">
        <v>934</v>
      </c>
      <c r="S261" s="33">
        <f>8258.95</f>
        <v>8258.9500000000007</v>
      </c>
      <c r="T261" s="30">
        <f>1078522</f>
        <v>1078522</v>
      </c>
      <c r="U261" s="30">
        <f>31203</f>
        <v>31203</v>
      </c>
      <c r="V261" s="30">
        <f>8803947132</f>
        <v>8803947132</v>
      </c>
      <c r="W261" s="30">
        <f>242907125</f>
        <v>242907125</v>
      </c>
      <c r="X261" s="34">
        <f>22</f>
        <v>22</v>
      </c>
    </row>
    <row r="262" spans="1:24" x14ac:dyDescent="0.15">
      <c r="A262" s="25" t="s">
        <v>1057</v>
      </c>
      <c r="B262" s="25" t="s">
        <v>839</v>
      </c>
      <c r="C262" s="25" t="s">
        <v>840</v>
      </c>
      <c r="D262" s="25" t="s">
        <v>841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2596</f>
        <v>2596</v>
      </c>
      <c r="L262" s="32" t="s">
        <v>904</v>
      </c>
      <c r="M262" s="31">
        <f>2598</f>
        <v>2598</v>
      </c>
      <c r="N262" s="32" t="s">
        <v>904</v>
      </c>
      <c r="O262" s="31">
        <f>2326.5</f>
        <v>2326.5</v>
      </c>
      <c r="P262" s="32" t="s">
        <v>87</v>
      </c>
      <c r="Q262" s="31">
        <f>2354.5</f>
        <v>2354.5</v>
      </c>
      <c r="R262" s="32" t="s">
        <v>934</v>
      </c>
      <c r="S262" s="33">
        <f>2448.11</f>
        <v>2448.11</v>
      </c>
      <c r="T262" s="30">
        <f>2437180</f>
        <v>2437180</v>
      </c>
      <c r="U262" s="30">
        <f>590300</f>
        <v>590300</v>
      </c>
      <c r="V262" s="30">
        <f>6005422532</f>
        <v>6005422532</v>
      </c>
      <c r="W262" s="30">
        <f>1490065247</f>
        <v>1490065247</v>
      </c>
      <c r="X262" s="34">
        <f>22</f>
        <v>22</v>
      </c>
    </row>
    <row r="263" spans="1:24" x14ac:dyDescent="0.15">
      <c r="A263" s="25" t="s">
        <v>1057</v>
      </c>
      <c r="B263" s="25" t="s">
        <v>842</v>
      </c>
      <c r="C263" s="25" t="s">
        <v>843</v>
      </c>
      <c r="D263" s="25" t="s">
        <v>844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2008</f>
        <v>2008</v>
      </c>
      <c r="L263" s="32" t="s">
        <v>904</v>
      </c>
      <c r="M263" s="31">
        <f>2009.5</f>
        <v>2009.5</v>
      </c>
      <c r="N263" s="32" t="s">
        <v>904</v>
      </c>
      <c r="O263" s="31">
        <f>1856.5</f>
        <v>1856.5</v>
      </c>
      <c r="P263" s="32" t="s">
        <v>936</v>
      </c>
      <c r="Q263" s="31">
        <f>1883.5</f>
        <v>1883.5</v>
      </c>
      <c r="R263" s="32" t="s">
        <v>934</v>
      </c>
      <c r="S263" s="33">
        <f>1927.52</f>
        <v>1927.52</v>
      </c>
      <c r="T263" s="30">
        <f>6551330</f>
        <v>6551330</v>
      </c>
      <c r="U263" s="30">
        <f>2982210</f>
        <v>2982210</v>
      </c>
      <c r="V263" s="30">
        <f>12602102118</f>
        <v>12602102118</v>
      </c>
      <c r="W263" s="30">
        <f>5771040743</f>
        <v>5771040743</v>
      </c>
      <c r="X263" s="34">
        <f>22</f>
        <v>22</v>
      </c>
    </row>
    <row r="264" spans="1:24" x14ac:dyDescent="0.15">
      <c r="A264" s="25" t="s">
        <v>1057</v>
      </c>
      <c r="B264" s="25" t="s">
        <v>845</v>
      </c>
      <c r="C264" s="25" t="s">
        <v>846</v>
      </c>
      <c r="D264" s="25" t="s">
        <v>847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2649.5</f>
        <v>2649.5</v>
      </c>
      <c r="L264" s="32" t="s">
        <v>904</v>
      </c>
      <c r="M264" s="31">
        <f>2686</f>
        <v>2686</v>
      </c>
      <c r="N264" s="32" t="s">
        <v>909</v>
      </c>
      <c r="O264" s="31">
        <f>2401.5</f>
        <v>2401.5</v>
      </c>
      <c r="P264" s="32" t="s">
        <v>87</v>
      </c>
      <c r="Q264" s="31">
        <f>2428</f>
        <v>2428</v>
      </c>
      <c r="R264" s="32" t="s">
        <v>934</v>
      </c>
      <c r="S264" s="33">
        <f>2528.66</f>
        <v>2528.66</v>
      </c>
      <c r="T264" s="30">
        <f>135440</f>
        <v>135440</v>
      </c>
      <c r="U264" s="30">
        <f>90000</f>
        <v>90000</v>
      </c>
      <c r="V264" s="30">
        <f>347469115</f>
        <v>347469115</v>
      </c>
      <c r="W264" s="30">
        <f>232235000</f>
        <v>232235000</v>
      </c>
      <c r="X264" s="34">
        <f>22</f>
        <v>22</v>
      </c>
    </row>
    <row r="265" spans="1:24" x14ac:dyDescent="0.15">
      <c r="A265" s="25" t="s">
        <v>1057</v>
      </c>
      <c r="B265" s="25" t="s">
        <v>848</v>
      </c>
      <c r="C265" s="25" t="s">
        <v>849</v>
      </c>
      <c r="D265" s="25" t="s">
        <v>850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2690</f>
        <v>2690</v>
      </c>
      <c r="L265" s="32" t="s">
        <v>904</v>
      </c>
      <c r="M265" s="31">
        <f>2690</f>
        <v>2690</v>
      </c>
      <c r="N265" s="32" t="s">
        <v>904</v>
      </c>
      <c r="O265" s="31">
        <f>2403</f>
        <v>2403</v>
      </c>
      <c r="P265" s="32" t="s">
        <v>94</v>
      </c>
      <c r="Q265" s="31">
        <f>2413</f>
        <v>2413</v>
      </c>
      <c r="R265" s="32" t="s">
        <v>934</v>
      </c>
      <c r="S265" s="33">
        <f>2504.38</f>
        <v>2504.38</v>
      </c>
      <c r="T265" s="30">
        <f>3887</f>
        <v>3887</v>
      </c>
      <c r="U265" s="30" t="str">
        <f>"－"</f>
        <v>－</v>
      </c>
      <c r="V265" s="30">
        <f>9689181</f>
        <v>9689181</v>
      </c>
      <c r="W265" s="30" t="str">
        <f>"－"</f>
        <v>－</v>
      </c>
      <c r="X265" s="34">
        <f>21</f>
        <v>21</v>
      </c>
    </row>
    <row r="266" spans="1:24" x14ac:dyDescent="0.15">
      <c r="A266" s="25" t="s">
        <v>1057</v>
      </c>
      <c r="B266" s="25" t="s">
        <v>851</v>
      </c>
      <c r="C266" s="25" t="s">
        <v>852</v>
      </c>
      <c r="D266" s="25" t="s">
        <v>853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1594</f>
        <v>1594</v>
      </c>
      <c r="L266" s="32" t="s">
        <v>904</v>
      </c>
      <c r="M266" s="31">
        <f>1594</f>
        <v>1594</v>
      </c>
      <c r="N266" s="32" t="s">
        <v>904</v>
      </c>
      <c r="O266" s="31">
        <f>1451</f>
        <v>1451</v>
      </c>
      <c r="P266" s="32" t="s">
        <v>936</v>
      </c>
      <c r="Q266" s="31">
        <f>1470</f>
        <v>1470</v>
      </c>
      <c r="R266" s="32" t="s">
        <v>934</v>
      </c>
      <c r="S266" s="33">
        <f>1517.23</f>
        <v>1517.23</v>
      </c>
      <c r="T266" s="30">
        <f>54706</f>
        <v>54706</v>
      </c>
      <c r="U266" s="30">
        <f>1</f>
        <v>1</v>
      </c>
      <c r="V266" s="30">
        <f>83741081</f>
        <v>83741081</v>
      </c>
      <c r="W266" s="30">
        <f>1558</f>
        <v>1558</v>
      </c>
      <c r="X266" s="34">
        <f>22</f>
        <v>22</v>
      </c>
    </row>
    <row r="267" spans="1:24" x14ac:dyDescent="0.15">
      <c r="A267" s="25" t="s">
        <v>1057</v>
      </c>
      <c r="B267" s="25" t="s">
        <v>854</v>
      </c>
      <c r="C267" s="25" t="s">
        <v>855</v>
      </c>
      <c r="D267" s="25" t="s">
        <v>856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1976</f>
        <v>1976</v>
      </c>
      <c r="L267" s="32" t="s">
        <v>904</v>
      </c>
      <c r="M267" s="31">
        <f>1990</f>
        <v>1990</v>
      </c>
      <c r="N267" s="32" t="s">
        <v>904</v>
      </c>
      <c r="O267" s="31">
        <f>1745</f>
        <v>1745</v>
      </c>
      <c r="P267" s="32" t="s">
        <v>936</v>
      </c>
      <c r="Q267" s="31">
        <f>1769</f>
        <v>1769</v>
      </c>
      <c r="R267" s="32" t="s">
        <v>934</v>
      </c>
      <c r="S267" s="33">
        <f>1864.18</f>
        <v>1864.18</v>
      </c>
      <c r="T267" s="30">
        <f>64152</f>
        <v>64152</v>
      </c>
      <c r="U267" s="30" t="str">
        <f>"－"</f>
        <v>－</v>
      </c>
      <c r="V267" s="30">
        <f>118783764</f>
        <v>118783764</v>
      </c>
      <c r="W267" s="30" t="str">
        <f>"－"</f>
        <v>－</v>
      </c>
      <c r="X267" s="34">
        <f>22</f>
        <v>22</v>
      </c>
    </row>
    <row r="268" spans="1:24" x14ac:dyDescent="0.15">
      <c r="A268" s="25" t="s">
        <v>1057</v>
      </c>
      <c r="B268" s="25" t="s">
        <v>857</v>
      </c>
      <c r="C268" s="25" t="s">
        <v>858</v>
      </c>
      <c r="D268" s="25" t="s">
        <v>859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1656</f>
        <v>1656</v>
      </c>
      <c r="L268" s="32" t="s">
        <v>904</v>
      </c>
      <c r="M268" s="31">
        <f>1656</f>
        <v>1656</v>
      </c>
      <c r="N268" s="32" t="s">
        <v>904</v>
      </c>
      <c r="O268" s="31">
        <f>1496</f>
        <v>1496</v>
      </c>
      <c r="P268" s="32" t="s">
        <v>936</v>
      </c>
      <c r="Q268" s="31">
        <f>1519</f>
        <v>1519</v>
      </c>
      <c r="R268" s="32" t="s">
        <v>934</v>
      </c>
      <c r="S268" s="33">
        <f>1567.73</f>
        <v>1567.73</v>
      </c>
      <c r="T268" s="30">
        <f>33992</f>
        <v>33992</v>
      </c>
      <c r="U268" s="30" t="str">
        <f>"－"</f>
        <v>－</v>
      </c>
      <c r="V268" s="30">
        <f>53794476</f>
        <v>53794476</v>
      </c>
      <c r="W268" s="30" t="str">
        <f>"－"</f>
        <v>－</v>
      </c>
      <c r="X268" s="34">
        <f>22</f>
        <v>22</v>
      </c>
    </row>
    <row r="269" spans="1:24" x14ac:dyDescent="0.15">
      <c r="A269" s="25" t="s">
        <v>1057</v>
      </c>
      <c r="B269" s="25" t="s">
        <v>860</v>
      </c>
      <c r="C269" s="25" t="s">
        <v>861</v>
      </c>
      <c r="D269" s="25" t="s">
        <v>862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2613</f>
        <v>2613</v>
      </c>
      <c r="L269" s="32" t="s">
        <v>904</v>
      </c>
      <c r="M269" s="31">
        <f>2630</f>
        <v>2630</v>
      </c>
      <c r="N269" s="32" t="s">
        <v>904</v>
      </c>
      <c r="O269" s="31">
        <f>2453</f>
        <v>2453</v>
      </c>
      <c r="P269" s="32" t="s">
        <v>66</v>
      </c>
      <c r="Q269" s="31">
        <f>2495</f>
        <v>2495</v>
      </c>
      <c r="R269" s="32" t="s">
        <v>934</v>
      </c>
      <c r="S269" s="33">
        <f>2544.14</f>
        <v>2544.14</v>
      </c>
      <c r="T269" s="30">
        <f>18109</f>
        <v>18109</v>
      </c>
      <c r="U269" s="30" t="str">
        <f>"－"</f>
        <v>－</v>
      </c>
      <c r="V269" s="30">
        <f>45808751</f>
        <v>45808751</v>
      </c>
      <c r="W269" s="30" t="str">
        <f>"－"</f>
        <v>－</v>
      </c>
      <c r="X269" s="34">
        <f>22</f>
        <v>22</v>
      </c>
    </row>
    <row r="270" spans="1:24" x14ac:dyDescent="0.15">
      <c r="A270" s="25" t="s">
        <v>1057</v>
      </c>
      <c r="B270" s="25" t="s">
        <v>863</v>
      </c>
      <c r="C270" s="25" t="s">
        <v>864</v>
      </c>
      <c r="D270" s="25" t="s">
        <v>865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2125</f>
        <v>2125</v>
      </c>
      <c r="L270" s="32" t="s">
        <v>904</v>
      </c>
      <c r="M270" s="31">
        <f>2125</f>
        <v>2125</v>
      </c>
      <c r="N270" s="32" t="s">
        <v>904</v>
      </c>
      <c r="O270" s="31">
        <f>1943</f>
        <v>1943</v>
      </c>
      <c r="P270" s="32" t="s">
        <v>936</v>
      </c>
      <c r="Q270" s="31">
        <f>1950</f>
        <v>1950</v>
      </c>
      <c r="R270" s="32" t="s">
        <v>934</v>
      </c>
      <c r="S270" s="33">
        <f>2031.55</f>
        <v>2031.55</v>
      </c>
      <c r="T270" s="30">
        <f>81043</f>
        <v>81043</v>
      </c>
      <c r="U270" s="30">
        <f>1</f>
        <v>1</v>
      </c>
      <c r="V270" s="30">
        <f>162377184</f>
        <v>162377184</v>
      </c>
      <c r="W270" s="30">
        <f>2066</f>
        <v>2066</v>
      </c>
      <c r="X270" s="34">
        <f>22</f>
        <v>22</v>
      </c>
    </row>
    <row r="271" spans="1:24" x14ac:dyDescent="0.15">
      <c r="A271" s="25" t="s">
        <v>1057</v>
      </c>
      <c r="B271" s="25" t="s">
        <v>866</v>
      </c>
      <c r="C271" s="25" t="s">
        <v>867</v>
      </c>
      <c r="D271" s="25" t="s">
        <v>868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26040</f>
        <v>26040</v>
      </c>
      <c r="L271" s="32" t="s">
        <v>909</v>
      </c>
      <c r="M271" s="31">
        <f>26220</f>
        <v>26220</v>
      </c>
      <c r="N271" s="32" t="s">
        <v>695</v>
      </c>
      <c r="O271" s="31">
        <f>25230</f>
        <v>25230</v>
      </c>
      <c r="P271" s="32" t="s">
        <v>66</v>
      </c>
      <c r="Q271" s="31">
        <f>25250</f>
        <v>25250</v>
      </c>
      <c r="R271" s="32" t="s">
        <v>936</v>
      </c>
      <c r="S271" s="33">
        <f>25736.43</f>
        <v>25736.43</v>
      </c>
      <c r="T271" s="30">
        <f>31</f>
        <v>31</v>
      </c>
      <c r="U271" s="30" t="str">
        <f>"－"</f>
        <v>－</v>
      </c>
      <c r="V271" s="30">
        <f>797135</f>
        <v>797135</v>
      </c>
      <c r="W271" s="30" t="str">
        <f>"－"</f>
        <v>－</v>
      </c>
      <c r="X271" s="34">
        <f>14</f>
        <v>14</v>
      </c>
    </row>
    <row r="272" spans="1:24" x14ac:dyDescent="0.15">
      <c r="A272" s="25" t="s">
        <v>1057</v>
      </c>
      <c r="B272" s="25" t="s">
        <v>869</v>
      </c>
      <c r="C272" s="25" t="s">
        <v>870</v>
      </c>
      <c r="D272" s="25" t="s">
        <v>871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2062</f>
        <v>2062</v>
      </c>
      <c r="L272" s="32" t="s">
        <v>904</v>
      </c>
      <c r="M272" s="31">
        <f>2063</f>
        <v>2063</v>
      </c>
      <c r="N272" s="32" t="s">
        <v>904</v>
      </c>
      <c r="O272" s="31">
        <f>1936</f>
        <v>1936</v>
      </c>
      <c r="P272" s="32" t="s">
        <v>936</v>
      </c>
      <c r="Q272" s="31">
        <f>1950</f>
        <v>1950</v>
      </c>
      <c r="R272" s="32" t="s">
        <v>934</v>
      </c>
      <c r="S272" s="33">
        <f>1987.32</f>
        <v>1987.32</v>
      </c>
      <c r="T272" s="30">
        <f>20576</f>
        <v>20576</v>
      </c>
      <c r="U272" s="30" t="str">
        <f>"－"</f>
        <v>－</v>
      </c>
      <c r="V272" s="30">
        <f>41323970</f>
        <v>41323970</v>
      </c>
      <c r="W272" s="30" t="str">
        <f>"－"</f>
        <v>－</v>
      </c>
      <c r="X272" s="34">
        <f>19</f>
        <v>19</v>
      </c>
    </row>
    <row r="273" spans="1:24" x14ac:dyDescent="0.15">
      <c r="A273" s="25" t="s">
        <v>1057</v>
      </c>
      <c r="B273" s="25" t="s">
        <v>872</v>
      </c>
      <c r="C273" s="25" t="s">
        <v>873</v>
      </c>
      <c r="D273" s="25" t="s">
        <v>874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2353</f>
        <v>2353</v>
      </c>
      <c r="L273" s="32" t="s">
        <v>904</v>
      </c>
      <c r="M273" s="31">
        <f>2353</f>
        <v>2353</v>
      </c>
      <c r="N273" s="32" t="s">
        <v>904</v>
      </c>
      <c r="O273" s="31">
        <f>2026</f>
        <v>2026</v>
      </c>
      <c r="P273" s="32" t="s">
        <v>936</v>
      </c>
      <c r="Q273" s="31">
        <f>2038</f>
        <v>2038</v>
      </c>
      <c r="R273" s="32" t="s">
        <v>934</v>
      </c>
      <c r="S273" s="33">
        <f>2189.59</f>
        <v>2189.59</v>
      </c>
      <c r="T273" s="30">
        <f>284881</f>
        <v>284881</v>
      </c>
      <c r="U273" s="30" t="str">
        <f>"－"</f>
        <v>－</v>
      </c>
      <c r="V273" s="30">
        <f>620128997</f>
        <v>620128997</v>
      </c>
      <c r="W273" s="30" t="str">
        <f>"－"</f>
        <v>－</v>
      </c>
      <c r="X273" s="34">
        <f>22</f>
        <v>22</v>
      </c>
    </row>
    <row r="274" spans="1:24" x14ac:dyDescent="0.15">
      <c r="A274" s="25" t="s">
        <v>1057</v>
      </c>
      <c r="B274" s="25" t="s">
        <v>875</v>
      </c>
      <c r="C274" s="25" t="s">
        <v>876</v>
      </c>
      <c r="D274" s="25" t="s">
        <v>877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1834</f>
        <v>1834</v>
      </c>
      <c r="L274" s="32" t="s">
        <v>904</v>
      </c>
      <c r="M274" s="31">
        <f>1834</f>
        <v>1834</v>
      </c>
      <c r="N274" s="32" t="s">
        <v>904</v>
      </c>
      <c r="O274" s="31">
        <f>1685</f>
        <v>1685</v>
      </c>
      <c r="P274" s="32" t="s">
        <v>66</v>
      </c>
      <c r="Q274" s="31">
        <f>1722</f>
        <v>1722</v>
      </c>
      <c r="R274" s="32" t="s">
        <v>934</v>
      </c>
      <c r="S274" s="33">
        <f>1758.59</f>
        <v>1758.59</v>
      </c>
      <c r="T274" s="30">
        <f>4087</f>
        <v>4087</v>
      </c>
      <c r="U274" s="30" t="str">
        <f>"－"</f>
        <v>－</v>
      </c>
      <c r="V274" s="30">
        <f>7133232</f>
        <v>7133232</v>
      </c>
      <c r="W274" s="30" t="str">
        <f>"－"</f>
        <v>－</v>
      </c>
      <c r="X274" s="34">
        <f>22</f>
        <v>22</v>
      </c>
    </row>
    <row r="275" spans="1:24" x14ac:dyDescent="0.15">
      <c r="A275" s="25" t="s">
        <v>1057</v>
      </c>
      <c r="B275" s="25" t="s">
        <v>878</v>
      </c>
      <c r="C275" s="25" t="s">
        <v>879</v>
      </c>
      <c r="D275" s="25" t="s">
        <v>880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1403</f>
        <v>1403</v>
      </c>
      <c r="L275" s="32" t="s">
        <v>904</v>
      </c>
      <c r="M275" s="31">
        <f>1417</f>
        <v>1417</v>
      </c>
      <c r="N275" s="32" t="s">
        <v>915</v>
      </c>
      <c r="O275" s="31">
        <f>1341</f>
        <v>1341</v>
      </c>
      <c r="P275" s="32" t="s">
        <v>935</v>
      </c>
      <c r="Q275" s="31">
        <f>1363</f>
        <v>1363</v>
      </c>
      <c r="R275" s="32" t="s">
        <v>934</v>
      </c>
      <c r="S275" s="33">
        <f>1381.55</f>
        <v>1381.55</v>
      </c>
      <c r="T275" s="30">
        <f>31664</f>
        <v>31664</v>
      </c>
      <c r="U275" s="30" t="str">
        <f>"－"</f>
        <v>－</v>
      </c>
      <c r="V275" s="30">
        <f>43189396</f>
        <v>43189396</v>
      </c>
      <c r="W275" s="30" t="str">
        <f>"－"</f>
        <v>－</v>
      </c>
      <c r="X275" s="34">
        <f>22</f>
        <v>22</v>
      </c>
    </row>
    <row r="276" spans="1:24" x14ac:dyDescent="0.15">
      <c r="A276" s="25" t="s">
        <v>1057</v>
      </c>
      <c r="B276" s="25" t="s">
        <v>881</v>
      </c>
      <c r="C276" s="25" t="s">
        <v>882</v>
      </c>
      <c r="D276" s="25" t="s">
        <v>883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5159</f>
        <v>5159</v>
      </c>
      <c r="L276" s="32" t="s">
        <v>909</v>
      </c>
      <c r="M276" s="31">
        <f>5258</f>
        <v>5258</v>
      </c>
      <c r="N276" s="32" t="s">
        <v>906</v>
      </c>
      <c r="O276" s="31">
        <f>4949</f>
        <v>4949</v>
      </c>
      <c r="P276" s="32" t="s">
        <v>934</v>
      </c>
      <c r="Q276" s="31">
        <f>4949</f>
        <v>4949</v>
      </c>
      <c r="R276" s="32" t="s">
        <v>934</v>
      </c>
      <c r="S276" s="33">
        <f>5091.76</f>
        <v>5091.76</v>
      </c>
      <c r="T276" s="30">
        <f>378260</f>
        <v>378260</v>
      </c>
      <c r="U276" s="30">
        <f>350000</f>
        <v>350000</v>
      </c>
      <c r="V276" s="30">
        <f>1953076558</f>
        <v>1953076558</v>
      </c>
      <c r="W276" s="30">
        <f>1807368798</f>
        <v>1807368798</v>
      </c>
      <c r="X276" s="34">
        <f>17</f>
        <v>17</v>
      </c>
    </row>
    <row r="277" spans="1:24" x14ac:dyDescent="0.15">
      <c r="A277" s="25" t="s">
        <v>1057</v>
      </c>
      <c r="B277" s="25" t="s">
        <v>884</v>
      </c>
      <c r="C277" s="25" t="s">
        <v>885</v>
      </c>
      <c r="D277" s="25" t="s">
        <v>886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4188</f>
        <v>4188</v>
      </c>
      <c r="L277" s="32" t="s">
        <v>904</v>
      </c>
      <c r="M277" s="31">
        <f>4243</f>
        <v>4243</v>
      </c>
      <c r="N277" s="32" t="s">
        <v>912</v>
      </c>
      <c r="O277" s="31">
        <f>4095</f>
        <v>4095</v>
      </c>
      <c r="P277" s="32" t="s">
        <v>94</v>
      </c>
      <c r="Q277" s="31">
        <f>4100</f>
        <v>4100</v>
      </c>
      <c r="R277" s="32" t="s">
        <v>934</v>
      </c>
      <c r="S277" s="33">
        <f>4170.65</f>
        <v>4170.6499999999996</v>
      </c>
      <c r="T277" s="30">
        <f>145090</f>
        <v>145090</v>
      </c>
      <c r="U277" s="30">
        <f>25000</f>
        <v>25000</v>
      </c>
      <c r="V277" s="30">
        <f>610474610</f>
        <v>610474610</v>
      </c>
      <c r="W277" s="30">
        <f>105505000</f>
        <v>105505000</v>
      </c>
      <c r="X277" s="34">
        <f>17</f>
        <v>17</v>
      </c>
    </row>
    <row r="278" spans="1:24" x14ac:dyDescent="0.15">
      <c r="A278" s="25" t="s">
        <v>1057</v>
      </c>
      <c r="B278" s="25" t="s">
        <v>887</v>
      </c>
      <c r="C278" s="25" t="s">
        <v>888</v>
      </c>
      <c r="D278" s="25" t="s">
        <v>889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701</f>
        <v>701</v>
      </c>
      <c r="L278" s="32" t="s">
        <v>904</v>
      </c>
      <c r="M278" s="31">
        <f>714.4</f>
        <v>714.4</v>
      </c>
      <c r="N278" s="32" t="s">
        <v>906</v>
      </c>
      <c r="O278" s="31">
        <f>694.8</f>
        <v>694.8</v>
      </c>
      <c r="P278" s="32" t="s">
        <v>936</v>
      </c>
      <c r="Q278" s="31">
        <f>695.9</f>
        <v>695.9</v>
      </c>
      <c r="R278" s="32" t="s">
        <v>934</v>
      </c>
      <c r="S278" s="33">
        <f>703.29</f>
        <v>703.29</v>
      </c>
      <c r="T278" s="30">
        <f>31380</f>
        <v>31380</v>
      </c>
      <c r="U278" s="30" t="str">
        <f>"－"</f>
        <v>－</v>
      </c>
      <c r="V278" s="30">
        <f>21968735</f>
        <v>21968735</v>
      </c>
      <c r="W278" s="30" t="str">
        <f>"－"</f>
        <v>－</v>
      </c>
      <c r="X278" s="34">
        <f>17</f>
        <v>17</v>
      </c>
    </row>
    <row r="279" spans="1:24" x14ac:dyDescent="0.15">
      <c r="A279" s="25" t="s">
        <v>1057</v>
      </c>
      <c r="B279" s="25" t="s">
        <v>891</v>
      </c>
      <c r="C279" s="25" t="s">
        <v>892</v>
      </c>
      <c r="D279" s="25" t="s">
        <v>893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2255</f>
        <v>2255</v>
      </c>
      <c r="L279" s="32" t="s">
        <v>904</v>
      </c>
      <c r="M279" s="31">
        <f>2255</f>
        <v>2255</v>
      </c>
      <c r="N279" s="32" t="s">
        <v>904</v>
      </c>
      <c r="O279" s="31">
        <f>2025</f>
        <v>2025</v>
      </c>
      <c r="P279" s="32" t="s">
        <v>94</v>
      </c>
      <c r="Q279" s="31">
        <f>2059</f>
        <v>2059</v>
      </c>
      <c r="R279" s="32" t="s">
        <v>934</v>
      </c>
      <c r="S279" s="33">
        <f>2108.89</f>
        <v>2108.89</v>
      </c>
      <c r="T279" s="30">
        <f>8977</f>
        <v>8977</v>
      </c>
      <c r="U279" s="30" t="str">
        <f>"－"</f>
        <v>－</v>
      </c>
      <c r="V279" s="30">
        <f>19348815</f>
        <v>19348815</v>
      </c>
      <c r="W279" s="30" t="str">
        <f>"－"</f>
        <v>－</v>
      </c>
      <c r="X279" s="34">
        <f>19</f>
        <v>19</v>
      </c>
    </row>
    <row r="280" spans="1:24" x14ac:dyDescent="0.15">
      <c r="A280" s="25" t="s">
        <v>1057</v>
      </c>
      <c r="B280" s="25" t="s">
        <v>894</v>
      </c>
      <c r="C280" s="25" t="s">
        <v>895</v>
      </c>
      <c r="D280" s="25" t="s">
        <v>896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2000</f>
        <v>2000</v>
      </c>
      <c r="L280" s="32" t="s">
        <v>904</v>
      </c>
      <c r="M280" s="31">
        <f>2001</f>
        <v>2001</v>
      </c>
      <c r="N280" s="32" t="s">
        <v>904</v>
      </c>
      <c r="O280" s="31">
        <f>1828</f>
        <v>1828</v>
      </c>
      <c r="P280" s="32" t="s">
        <v>936</v>
      </c>
      <c r="Q280" s="31">
        <f>1864</f>
        <v>1864</v>
      </c>
      <c r="R280" s="32" t="s">
        <v>934</v>
      </c>
      <c r="S280" s="33">
        <f>1905.09</f>
        <v>1905.09</v>
      </c>
      <c r="T280" s="30">
        <f>844</f>
        <v>844</v>
      </c>
      <c r="U280" s="30" t="str">
        <f>"－"</f>
        <v>－</v>
      </c>
      <c r="V280" s="30">
        <f>1582655</f>
        <v>1582655</v>
      </c>
      <c r="W280" s="30" t="str">
        <f>"－"</f>
        <v>－</v>
      </c>
      <c r="X280" s="34">
        <f>22</f>
        <v>22</v>
      </c>
    </row>
    <row r="281" spans="1:24" x14ac:dyDescent="0.15">
      <c r="A281" s="25" t="s">
        <v>1057</v>
      </c>
      <c r="B281" s="25" t="s">
        <v>897</v>
      </c>
      <c r="C281" s="25" t="s">
        <v>898</v>
      </c>
      <c r="D281" s="25" t="s">
        <v>899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7731</f>
        <v>7731</v>
      </c>
      <c r="L281" s="32" t="s">
        <v>904</v>
      </c>
      <c r="M281" s="31">
        <f>7868</f>
        <v>7868</v>
      </c>
      <c r="N281" s="32" t="s">
        <v>906</v>
      </c>
      <c r="O281" s="31">
        <f>7380</f>
        <v>7380</v>
      </c>
      <c r="P281" s="32" t="s">
        <v>94</v>
      </c>
      <c r="Q281" s="31">
        <f>7383</f>
        <v>7383</v>
      </c>
      <c r="R281" s="32" t="s">
        <v>934</v>
      </c>
      <c r="S281" s="33">
        <f>7620.38</f>
        <v>7620.38</v>
      </c>
      <c r="T281" s="30">
        <f>121100</f>
        <v>121100</v>
      </c>
      <c r="U281" s="30">
        <f>119200</f>
        <v>119200</v>
      </c>
      <c r="V281" s="30">
        <f>916706107</f>
        <v>916706107</v>
      </c>
      <c r="W281" s="30">
        <f>902197538</f>
        <v>902197538</v>
      </c>
      <c r="X281" s="34">
        <f>21</f>
        <v>21</v>
      </c>
    </row>
    <row r="282" spans="1:24" x14ac:dyDescent="0.15">
      <c r="A282" s="25" t="s">
        <v>1057</v>
      </c>
      <c r="B282" s="25" t="s">
        <v>900</v>
      </c>
      <c r="C282" s="25" t="s">
        <v>901</v>
      </c>
      <c r="D282" s="25" t="s">
        <v>902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6227</f>
        <v>6227</v>
      </c>
      <c r="L282" s="32" t="s">
        <v>904</v>
      </c>
      <c r="M282" s="31">
        <f>6388</f>
        <v>6388</v>
      </c>
      <c r="N282" s="32" t="s">
        <v>812</v>
      </c>
      <c r="O282" s="31">
        <f>6093</f>
        <v>6093</v>
      </c>
      <c r="P282" s="32" t="s">
        <v>936</v>
      </c>
      <c r="Q282" s="31">
        <f>6108</f>
        <v>6108</v>
      </c>
      <c r="R282" s="32" t="s">
        <v>934</v>
      </c>
      <c r="S282" s="33">
        <f>6201.95</f>
        <v>6201.95</v>
      </c>
      <c r="T282" s="30">
        <f>2161</f>
        <v>2161</v>
      </c>
      <c r="U282" s="30" t="str">
        <f>"－"</f>
        <v>－</v>
      </c>
      <c r="V282" s="30">
        <f>13443913</f>
        <v>13443913</v>
      </c>
      <c r="W282" s="30" t="str">
        <f>"－"</f>
        <v>－</v>
      </c>
      <c r="X282" s="34">
        <f>19</f>
        <v>19</v>
      </c>
    </row>
    <row r="283" spans="1:24" x14ac:dyDescent="0.15">
      <c r="A283" s="25" t="s">
        <v>1057</v>
      </c>
      <c r="B283" s="25" t="s">
        <v>916</v>
      </c>
      <c r="C283" s="25" t="s">
        <v>917</v>
      </c>
      <c r="D283" s="25" t="s">
        <v>918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15605</f>
        <v>15605</v>
      </c>
      <c r="L283" s="32" t="s">
        <v>904</v>
      </c>
      <c r="M283" s="31">
        <f>15610</f>
        <v>15610</v>
      </c>
      <c r="N283" s="32" t="s">
        <v>904</v>
      </c>
      <c r="O283" s="31">
        <f>13490</f>
        <v>13490</v>
      </c>
      <c r="P283" s="32" t="s">
        <v>936</v>
      </c>
      <c r="Q283" s="31">
        <f>13665</f>
        <v>13665</v>
      </c>
      <c r="R283" s="32" t="s">
        <v>934</v>
      </c>
      <c r="S283" s="33">
        <f>14502.73</f>
        <v>14502.73</v>
      </c>
      <c r="T283" s="30">
        <f>493760</f>
        <v>493760</v>
      </c>
      <c r="U283" s="30">
        <f>1</f>
        <v>1</v>
      </c>
      <c r="V283" s="30">
        <f>7201675675</f>
        <v>7201675675</v>
      </c>
      <c r="W283" s="30">
        <f>13720</f>
        <v>13720</v>
      </c>
      <c r="X283" s="34">
        <f>22</f>
        <v>22</v>
      </c>
    </row>
    <row r="284" spans="1:24" x14ac:dyDescent="0.15">
      <c r="A284" s="25" t="s">
        <v>1057</v>
      </c>
      <c r="B284" s="25" t="s">
        <v>920</v>
      </c>
      <c r="C284" s="25" t="s">
        <v>921</v>
      </c>
      <c r="D284" s="25" t="s">
        <v>922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8235</f>
        <v>8235</v>
      </c>
      <c r="L284" s="32" t="s">
        <v>904</v>
      </c>
      <c r="M284" s="31">
        <f>8239</f>
        <v>8239</v>
      </c>
      <c r="N284" s="32" t="s">
        <v>904</v>
      </c>
      <c r="O284" s="31">
        <f>7299</f>
        <v>7299</v>
      </c>
      <c r="P284" s="32" t="s">
        <v>936</v>
      </c>
      <c r="Q284" s="31">
        <f>7452</f>
        <v>7452</v>
      </c>
      <c r="R284" s="32" t="s">
        <v>934</v>
      </c>
      <c r="S284" s="33">
        <f>7780.18</f>
        <v>7780.18</v>
      </c>
      <c r="T284" s="30">
        <f>1009208</f>
        <v>1009208</v>
      </c>
      <c r="U284" s="30">
        <f>4985</f>
        <v>4985</v>
      </c>
      <c r="V284" s="30">
        <f>7838954307</f>
        <v>7838954307</v>
      </c>
      <c r="W284" s="30">
        <f>36460290</f>
        <v>36460290</v>
      </c>
      <c r="X284" s="34">
        <f>22</f>
        <v>22</v>
      </c>
    </row>
    <row r="285" spans="1:24" x14ac:dyDescent="0.15">
      <c r="A285" s="25" t="s">
        <v>1057</v>
      </c>
      <c r="B285" s="25" t="s">
        <v>923</v>
      </c>
      <c r="C285" s="25" t="s">
        <v>924</v>
      </c>
      <c r="D285" s="25" t="s">
        <v>925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30290</f>
        <v>30290</v>
      </c>
      <c r="L285" s="32" t="s">
        <v>904</v>
      </c>
      <c r="M285" s="31">
        <f>34180</f>
        <v>34180</v>
      </c>
      <c r="N285" s="32" t="s">
        <v>936</v>
      </c>
      <c r="O285" s="31">
        <f>30270</f>
        <v>30270</v>
      </c>
      <c r="P285" s="32" t="s">
        <v>904</v>
      </c>
      <c r="Q285" s="31">
        <f>33480</f>
        <v>33480</v>
      </c>
      <c r="R285" s="32" t="s">
        <v>934</v>
      </c>
      <c r="S285" s="33">
        <f>32095.91</f>
        <v>32095.91</v>
      </c>
      <c r="T285" s="30">
        <f>535889</f>
        <v>535889</v>
      </c>
      <c r="U285" s="30">
        <f>180110</f>
        <v>180110</v>
      </c>
      <c r="V285" s="30">
        <f>17358692877</f>
        <v>17358692877</v>
      </c>
      <c r="W285" s="30">
        <f>5827337827</f>
        <v>5827337827</v>
      </c>
      <c r="X285" s="34">
        <f>22</f>
        <v>22</v>
      </c>
    </row>
    <row r="286" spans="1:24" x14ac:dyDescent="0.15">
      <c r="A286" s="25" t="s">
        <v>1057</v>
      </c>
      <c r="B286" s="25" t="s">
        <v>926</v>
      </c>
      <c r="C286" s="25" t="s">
        <v>927</v>
      </c>
      <c r="D286" s="25" t="s">
        <v>928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4501</f>
        <v>4501</v>
      </c>
      <c r="L286" s="32" t="s">
        <v>909</v>
      </c>
      <c r="M286" s="31">
        <f>4523</f>
        <v>4523</v>
      </c>
      <c r="N286" s="32" t="s">
        <v>80</v>
      </c>
      <c r="O286" s="31">
        <f>4276</f>
        <v>4276</v>
      </c>
      <c r="P286" s="32" t="s">
        <v>94</v>
      </c>
      <c r="Q286" s="31">
        <f>4302</f>
        <v>4302</v>
      </c>
      <c r="R286" s="32" t="s">
        <v>936</v>
      </c>
      <c r="S286" s="33">
        <f>4444</f>
        <v>4444</v>
      </c>
      <c r="T286" s="30">
        <f>89860</f>
        <v>89860</v>
      </c>
      <c r="U286" s="30">
        <f>65820</f>
        <v>65820</v>
      </c>
      <c r="V286" s="30">
        <f>403580015</f>
        <v>403580015</v>
      </c>
      <c r="W286" s="30">
        <f>295390365</f>
        <v>295390365</v>
      </c>
      <c r="X286" s="34">
        <f>8</f>
        <v>8</v>
      </c>
    </row>
    <row r="287" spans="1:24" x14ac:dyDescent="0.15">
      <c r="A287" s="25" t="s">
        <v>1057</v>
      </c>
      <c r="B287" s="25" t="s">
        <v>930</v>
      </c>
      <c r="C287" s="25" t="s">
        <v>931</v>
      </c>
      <c r="D287" s="25" t="s">
        <v>932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5091</f>
        <v>5091</v>
      </c>
      <c r="L287" s="32" t="s">
        <v>909</v>
      </c>
      <c r="M287" s="31">
        <f>5234</f>
        <v>5234</v>
      </c>
      <c r="N287" s="32" t="s">
        <v>813</v>
      </c>
      <c r="O287" s="31">
        <f>4749</f>
        <v>4749</v>
      </c>
      <c r="P287" s="32" t="s">
        <v>935</v>
      </c>
      <c r="Q287" s="31">
        <f>4754</f>
        <v>4754</v>
      </c>
      <c r="R287" s="32" t="s">
        <v>934</v>
      </c>
      <c r="S287" s="33">
        <f>4926.13</f>
        <v>4926.13</v>
      </c>
      <c r="T287" s="30">
        <f>378130</f>
        <v>378130</v>
      </c>
      <c r="U287" s="30">
        <f>355180</f>
        <v>355180</v>
      </c>
      <c r="V287" s="30">
        <f>1931307581</f>
        <v>1931307581</v>
      </c>
      <c r="W287" s="30">
        <f>1815100711</f>
        <v>1815100711</v>
      </c>
      <c r="X287" s="34">
        <f>16</f>
        <v>16</v>
      </c>
    </row>
    <row r="288" spans="1:24" x14ac:dyDescent="0.15">
      <c r="A288" s="25" t="s">
        <v>1057</v>
      </c>
      <c r="B288" s="25" t="s">
        <v>949</v>
      </c>
      <c r="C288" s="25" t="s">
        <v>950</v>
      </c>
      <c r="D288" s="25" t="s">
        <v>951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1718</f>
        <v>1718</v>
      </c>
      <c r="L288" s="32" t="s">
        <v>904</v>
      </c>
      <c r="M288" s="31">
        <f>1719.5</f>
        <v>1719.5</v>
      </c>
      <c r="N288" s="32" t="s">
        <v>904</v>
      </c>
      <c r="O288" s="31">
        <f>1523</f>
        <v>1523</v>
      </c>
      <c r="P288" s="32" t="s">
        <v>936</v>
      </c>
      <c r="Q288" s="31">
        <f>1555.5</f>
        <v>1555.5</v>
      </c>
      <c r="R288" s="32" t="s">
        <v>934</v>
      </c>
      <c r="S288" s="33">
        <f>1623.91</f>
        <v>1623.91</v>
      </c>
      <c r="T288" s="30">
        <f>7316340</f>
        <v>7316340</v>
      </c>
      <c r="U288" s="30">
        <f>1190000</f>
        <v>1190000</v>
      </c>
      <c r="V288" s="30">
        <f>12079248620</f>
        <v>12079248620</v>
      </c>
      <c r="W288" s="30">
        <f>1984598105</f>
        <v>1984598105</v>
      </c>
      <c r="X288" s="34">
        <f>22</f>
        <v>22</v>
      </c>
    </row>
    <row r="289" spans="1:24" x14ac:dyDescent="0.15">
      <c r="A289" s="25" t="s">
        <v>1057</v>
      </c>
      <c r="B289" s="25" t="s">
        <v>953</v>
      </c>
      <c r="C289" s="25" t="s">
        <v>954</v>
      </c>
      <c r="D289" s="25" t="s">
        <v>955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2007</f>
        <v>2007</v>
      </c>
      <c r="L289" s="32" t="s">
        <v>904</v>
      </c>
      <c r="M289" s="31">
        <f>2007.5</f>
        <v>2007.5</v>
      </c>
      <c r="N289" s="32" t="s">
        <v>904</v>
      </c>
      <c r="O289" s="31">
        <f>1882.5</f>
        <v>1882.5</v>
      </c>
      <c r="P289" s="32" t="s">
        <v>87</v>
      </c>
      <c r="Q289" s="31">
        <f>1919</f>
        <v>1919</v>
      </c>
      <c r="R289" s="32" t="s">
        <v>934</v>
      </c>
      <c r="S289" s="33">
        <f>1943.75</f>
        <v>1943.75</v>
      </c>
      <c r="T289" s="30">
        <f>1158160</f>
        <v>1158160</v>
      </c>
      <c r="U289" s="30">
        <f>10</f>
        <v>10</v>
      </c>
      <c r="V289" s="30">
        <f>2248544945</f>
        <v>2248544945</v>
      </c>
      <c r="W289" s="30">
        <f>19260</f>
        <v>19260</v>
      </c>
      <c r="X289" s="34">
        <f>22</f>
        <v>22</v>
      </c>
    </row>
    <row r="290" spans="1:24" x14ac:dyDescent="0.15">
      <c r="A290" s="25" t="s">
        <v>1057</v>
      </c>
      <c r="B290" s="25" t="s">
        <v>956</v>
      </c>
      <c r="C290" s="25" t="s">
        <v>957</v>
      </c>
      <c r="D290" s="25" t="s">
        <v>958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1599</f>
        <v>1599</v>
      </c>
      <c r="L290" s="32" t="s">
        <v>904</v>
      </c>
      <c r="M290" s="31">
        <f>1601</f>
        <v>1601</v>
      </c>
      <c r="N290" s="32" t="s">
        <v>904</v>
      </c>
      <c r="O290" s="31">
        <f>1492</f>
        <v>1492</v>
      </c>
      <c r="P290" s="32" t="s">
        <v>936</v>
      </c>
      <c r="Q290" s="31">
        <f>1513</f>
        <v>1513</v>
      </c>
      <c r="R290" s="32" t="s">
        <v>934</v>
      </c>
      <c r="S290" s="33">
        <f>1539.09</f>
        <v>1539.09</v>
      </c>
      <c r="T290" s="30">
        <f>26012</f>
        <v>26012</v>
      </c>
      <c r="U290" s="30" t="str">
        <f>"－"</f>
        <v>－</v>
      </c>
      <c r="V290" s="30">
        <f>40261657</f>
        <v>40261657</v>
      </c>
      <c r="W290" s="30" t="str">
        <f>"－"</f>
        <v>－</v>
      </c>
      <c r="X290" s="34">
        <f>22</f>
        <v>22</v>
      </c>
    </row>
    <row r="291" spans="1:24" x14ac:dyDescent="0.15">
      <c r="A291" s="25" t="s">
        <v>1057</v>
      </c>
      <c r="B291" s="25" t="s">
        <v>960</v>
      </c>
      <c r="C291" s="25" t="s">
        <v>961</v>
      </c>
      <c r="D291" s="25" t="s">
        <v>962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1597</f>
        <v>1597</v>
      </c>
      <c r="L291" s="32" t="s">
        <v>904</v>
      </c>
      <c r="M291" s="31">
        <f>1597</f>
        <v>1597</v>
      </c>
      <c r="N291" s="32" t="s">
        <v>904</v>
      </c>
      <c r="O291" s="31">
        <f>1481</f>
        <v>1481</v>
      </c>
      <c r="P291" s="32" t="s">
        <v>936</v>
      </c>
      <c r="Q291" s="31">
        <f>1489</f>
        <v>1489</v>
      </c>
      <c r="R291" s="32" t="s">
        <v>934</v>
      </c>
      <c r="S291" s="33">
        <f>1529.62</f>
        <v>1529.62</v>
      </c>
      <c r="T291" s="30">
        <f>111131</f>
        <v>111131</v>
      </c>
      <c r="U291" s="30" t="str">
        <f>"－"</f>
        <v>－</v>
      </c>
      <c r="V291" s="30">
        <f>171053518</f>
        <v>171053518</v>
      </c>
      <c r="W291" s="30" t="str">
        <f>"－"</f>
        <v>－</v>
      </c>
      <c r="X291" s="34">
        <f>21</f>
        <v>21</v>
      </c>
    </row>
    <row r="292" spans="1:24" x14ac:dyDescent="0.15">
      <c r="A292" s="25" t="s">
        <v>1057</v>
      </c>
      <c r="B292" s="25" t="s">
        <v>963</v>
      </c>
      <c r="C292" s="25" t="s">
        <v>964</v>
      </c>
      <c r="D292" s="25" t="s">
        <v>965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3225</f>
        <v>3225</v>
      </c>
      <c r="L292" s="32" t="s">
        <v>904</v>
      </c>
      <c r="M292" s="31">
        <f>3225</f>
        <v>3225</v>
      </c>
      <c r="N292" s="32" t="s">
        <v>904</v>
      </c>
      <c r="O292" s="31">
        <f>3085</f>
        <v>3085</v>
      </c>
      <c r="P292" s="32" t="s">
        <v>936</v>
      </c>
      <c r="Q292" s="31">
        <f>3095</f>
        <v>3095</v>
      </c>
      <c r="R292" s="32" t="s">
        <v>934</v>
      </c>
      <c r="S292" s="33">
        <f>3151.59</f>
        <v>3151.59</v>
      </c>
      <c r="T292" s="30">
        <f>106112</f>
        <v>106112</v>
      </c>
      <c r="U292" s="30">
        <f>35600</f>
        <v>35600</v>
      </c>
      <c r="V292" s="30">
        <f>332494695</f>
        <v>332494695</v>
      </c>
      <c r="W292" s="30">
        <f>112422400</f>
        <v>112422400</v>
      </c>
      <c r="X292" s="34">
        <f>22</f>
        <v>22</v>
      </c>
    </row>
    <row r="293" spans="1:24" x14ac:dyDescent="0.15">
      <c r="A293" s="25" t="s">
        <v>1057</v>
      </c>
      <c r="B293" s="25" t="s">
        <v>967</v>
      </c>
      <c r="C293" s="25" t="s">
        <v>968</v>
      </c>
      <c r="D293" s="25" t="s">
        <v>969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2001.5</f>
        <v>2001.5</v>
      </c>
      <c r="L293" s="32" t="s">
        <v>70</v>
      </c>
      <c r="M293" s="31">
        <f>2010.5</f>
        <v>2010.5</v>
      </c>
      <c r="N293" s="32" t="s">
        <v>813</v>
      </c>
      <c r="O293" s="31">
        <f>1917.5</f>
        <v>1917.5</v>
      </c>
      <c r="P293" s="32" t="s">
        <v>94</v>
      </c>
      <c r="Q293" s="31">
        <f>1917.5</f>
        <v>1917.5</v>
      </c>
      <c r="R293" s="32" t="s">
        <v>94</v>
      </c>
      <c r="S293" s="33">
        <f>1974.64</f>
        <v>1974.64</v>
      </c>
      <c r="T293" s="30">
        <f>11220</f>
        <v>11220</v>
      </c>
      <c r="U293" s="30" t="str">
        <f>"－"</f>
        <v>－</v>
      </c>
      <c r="V293" s="30">
        <f>22390380</f>
        <v>22390380</v>
      </c>
      <c r="W293" s="30" t="str">
        <f>"－"</f>
        <v>－</v>
      </c>
      <c r="X293" s="34">
        <f>7</f>
        <v>7</v>
      </c>
    </row>
    <row r="294" spans="1:24" x14ac:dyDescent="0.15">
      <c r="A294" s="25" t="s">
        <v>1057</v>
      </c>
      <c r="B294" s="25" t="s">
        <v>982</v>
      </c>
      <c r="C294" s="25" t="s">
        <v>983</v>
      </c>
      <c r="D294" s="25" t="s">
        <v>984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206.3</f>
        <v>206.3</v>
      </c>
      <c r="L294" s="32" t="s">
        <v>904</v>
      </c>
      <c r="M294" s="31">
        <f>207.8</f>
        <v>207.8</v>
      </c>
      <c r="N294" s="32" t="s">
        <v>813</v>
      </c>
      <c r="O294" s="31">
        <f>186.5</f>
        <v>186.5</v>
      </c>
      <c r="P294" s="32" t="s">
        <v>812</v>
      </c>
      <c r="Q294" s="31">
        <f>196.5</f>
        <v>196.5</v>
      </c>
      <c r="R294" s="32" t="s">
        <v>934</v>
      </c>
      <c r="S294" s="33">
        <f>199.09</f>
        <v>199.09</v>
      </c>
      <c r="T294" s="30">
        <f>41590</f>
        <v>41590</v>
      </c>
      <c r="U294" s="30">
        <f>30000</f>
        <v>30000</v>
      </c>
      <c r="V294" s="30">
        <f>8238952</f>
        <v>8238952</v>
      </c>
      <c r="W294" s="30">
        <f>5927100</f>
        <v>5927100</v>
      </c>
      <c r="X294" s="34">
        <f>22</f>
        <v>22</v>
      </c>
    </row>
    <row r="295" spans="1:24" x14ac:dyDescent="0.15">
      <c r="A295" s="25" t="s">
        <v>1057</v>
      </c>
      <c r="B295" s="25" t="s">
        <v>972</v>
      </c>
      <c r="C295" s="25" t="s">
        <v>973</v>
      </c>
      <c r="D295" s="25" t="s">
        <v>974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199.4</f>
        <v>199.4</v>
      </c>
      <c r="L295" s="32" t="s">
        <v>904</v>
      </c>
      <c r="M295" s="31">
        <f>200</f>
        <v>200</v>
      </c>
      <c r="N295" s="32" t="s">
        <v>816</v>
      </c>
      <c r="O295" s="31">
        <f>190.2</f>
        <v>190.2</v>
      </c>
      <c r="P295" s="32" t="s">
        <v>935</v>
      </c>
      <c r="Q295" s="31">
        <f>195</f>
        <v>195</v>
      </c>
      <c r="R295" s="32" t="s">
        <v>934</v>
      </c>
      <c r="S295" s="33">
        <f>196.55</f>
        <v>196.55</v>
      </c>
      <c r="T295" s="30">
        <f>46500</f>
        <v>46500</v>
      </c>
      <c r="U295" s="30">
        <f>32260</f>
        <v>32260</v>
      </c>
      <c r="V295" s="30">
        <f>9069878</f>
        <v>9069878</v>
      </c>
      <c r="W295" s="30">
        <f>6273790</f>
        <v>6273790</v>
      </c>
      <c r="X295" s="34">
        <f>20</f>
        <v>20</v>
      </c>
    </row>
    <row r="296" spans="1:24" x14ac:dyDescent="0.15">
      <c r="A296" s="25" t="s">
        <v>1057</v>
      </c>
      <c r="B296" s="25" t="s">
        <v>976</v>
      </c>
      <c r="C296" s="25" t="s">
        <v>977</v>
      </c>
      <c r="D296" s="25" t="s">
        <v>978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744</f>
        <v>744</v>
      </c>
      <c r="L296" s="32" t="s">
        <v>810</v>
      </c>
      <c r="M296" s="31">
        <f>745.7</f>
        <v>745.7</v>
      </c>
      <c r="N296" s="32" t="s">
        <v>80</v>
      </c>
      <c r="O296" s="31">
        <f>712.4</f>
        <v>712.4</v>
      </c>
      <c r="P296" s="32" t="s">
        <v>936</v>
      </c>
      <c r="Q296" s="31">
        <f>712.4</f>
        <v>712.4</v>
      </c>
      <c r="R296" s="32" t="s">
        <v>936</v>
      </c>
      <c r="S296" s="33">
        <f>729.53</f>
        <v>729.53</v>
      </c>
      <c r="T296" s="30">
        <f>50480</f>
        <v>50480</v>
      </c>
      <c r="U296" s="30">
        <f>49420</f>
        <v>49420</v>
      </c>
      <c r="V296" s="30">
        <f>36651620</f>
        <v>36651620</v>
      </c>
      <c r="W296" s="30">
        <f>35875801</f>
        <v>35875801</v>
      </c>
      <c r="X296" s="34">
        <f>12</f>
        <v>12</v>
      </c>
    </row>
    <row r="297" spans="1:24" x14ac:dyDescent="0.15">
      <c r="A297" s="25" t="s">
        <v>1057</v>
      </c>
      <c r="B297" s="25" t="s">
        <v>986</v>
      </c>
      <c r="C297" s="25" t="s">
        <v>987</v>
      </c>
      <c r="D297" s="25" t="s">
        <v>988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1101</f>
        <v>1101</v>
      </c>
      <c r="L297" s="32" t="s">
        <v>904</v>
      </c>
      <c r="M297" s="31">
        <f>1101</f>
        <v>1101</v>
      </c>
      <c r="N297" s="32" t="s">
        <v>904</v>
      </c>
      <c r="O297" s="31">
        <f>972</f>
        <v>972</v>
      </c>
      <c r="P297" s="32" t="s">
        <v>936</v>
      </c>
      <c r="Q297" s="31">
        <f>975</f>
        <v>975</v>
      </c>
      <c r="R297" s="32" t="s">
        <v>934</v>
      </c>
      <c r="S297" s="33">
        <f>1029.36</f>
        <v>1029.3599999999999</v>
      </c>
      <c r="T297" s="30">
        <f>36701</f>
        <v>36701</v>
      </c>
      <c r="U297" s="30" t="str">
        <f>"－"</f>
        <v>－</v>
      </c>
      <c r="V297" s="30">
        <f>37454257</f>
        <v>37454257</v>
      </c>
      <c r="W297" s="30" t="str">
        <f>"－"</f>
        <v>－</v>
      </c>
      <c r="X297" s="34">
        <f>22</f>
        <v>22</v>
      </c>
    </row>
    <row r="298" spans="1:24" x14ac:dyDescent="0.15">
      <c r="A298" s="25" t="s">
        <v>1057</v>
      </c>
      <c r="B298" s="25" t="s">
        <v>990</v>
      </c>
      <c r="C298" s="25" t="s">
        <v>991</v>
      </c>
      <c r="D298" s="25" t="s">
        <v>992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1034</f>
        <v>1034</v>
      </c>
      <c r="L298" s="32" t="s">
        <v>904</v>
      </c>
      <c r="M298" s="31">
        <f>1038</f>
        <v>1038</v>
      </c>
      <c r="N298" s="32" t="s">
        <v>904</v>
      </c>
      <c r="O298" s="31">
        <f>958</f>
        <v>958</v>
      </c>
      <c r="P298" s="32" t="s">
        <v>87</v>
      </c>
      <c r="Q298" s="31">
        <f>987</f>
        <v>987</v>
      </c>
      <c r="R298" s="32" t="s">
        <v>934</v>
      </c>
      <c r="S298" s="33">
        <f>1004.14</f>
        <v>1004.14</v>
      </c>
      <c r="T298" s="30">
        <f>53201</f>
        <v>53201</v>
      </c>
      <c r="U298" s="30" t="str">
        <f>"－"</f>
        <v>－</v>
      </c>
      <c r="V298" s="30">
        <f>52502684</f>
        <v>52502684</v>
      </c>
      <c r="W298" s="30" t="str">
        <f>"－"</f>
        <v>－</v>
      </c>
      <c r="X298" s="34">
        <f>22</f>
        <v>22</v>
      </c>
    </row>
    <row r="299" spans="1:24" x14ac:dyDescent="0.15">
      <c r="A299" s="25" t="s">
        <v>1057</v>
      </c>
      <c r="B299" s="25" t="s">
        <v>995</v>
      </c>
      <c r="C299" s="25" t="s">
        <v>996</v>
      </c>
      <c r="D299" s="25" t="s">
        <v>997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766.3</f>
        <v>766.3</v>
      </c>
      <c r="L299" s="32" t="s">
        <v>904</v>
      </c>
      <c r="M299" s="31">
        <f>781</f>
        <v>781</v>
      </c>
      <c r="N299" s="32" t="s">
        <v>812</v>
      </c>
      <c r="O299" s="31">
        <f>755.6</f>
        <v>755.6</v>
      </c>
      <c r="P299" s="32" t="s">
        <v>936</v>
      </c>
      <c r="Q299" s="31">
        <f>756.5</f>
        <v>756.5</v>
      </c>
      <c r="R299" s="32" t="s">
        <v>934</v>
      </c>
      <c r="S299" s="33">
        <f>763.61</f>
        <v>763.61</v>
      </c>
      <c r="T299" s="30">
        <f>85600</f>
        <v>85600</v>
      </c>
      <c r="U299" s="30">
        <f>2600</f>
        <v>2600</v>
      </c>
      <c r="V299" s="30">
        <f>65458374</f>
        <v>65458374</v>
      </c>
      <c r="W299" s="30">
        <f>1989000</f>
        <v>1989000</v>
      </c>
      <c r="X299" s="34">
        <f>22</f>
        <v>22</v>
      </c>
    </row>
    <row r="300" spans="1:24" x14ac:dyDescent="0.15">
      <c r="A300" s="25" t="s">
        <v>1057</v>
      </c>
      <c r="B300" s="25" t="s">
        <v>999</v>
      </c>
      <c r="C300" s="25" t="s">
        <v>1000</v>
      </c>
      <c r="D300" s="25" t="s">
        <v>1001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751</f>
        <v>751</v>
      </c>
      <c r="L300" s="32" t="s">
        <v>904</v>
      </c>
      <c r="M300" s="31">
        <f>764</f>
        <v>764</v>
      </c>
      <c r="N300" s="32" t="s">
        <v>812</v>
      </c>
      <c r="O300" s="31">
        <f>718.1</f>
        <v>718.1</v>
      </c>
      <c r="P300" s="32" t="s">
        <v>94</v>
      </c>
      <c r="Q300" s="31">
        <f>720</f>
        <v>720</v>
      </c>
      <c r="R300" s="32" t="s">
        <v>936</v>
      </c>
      <c r="S300" s="33">
        <f>741.11</f>
        <v>741.11</v>
      </c>
      <c r="T300" s="30">
        <f>2134480</f>
        <v>2134480</v>
      </c>
      <c r="U300" s="30">
        <f>2117690</f>
        <v>2117690</v>
      </c>
      <c r="V300" s="30">
        <f>1609804652</f>
        <v>1609804652</v>
      </c>
      <c r="W300" s="30">
        <f>1597164232</f>
        <v>1597164232</v>
      </c>
      <c r="X300" s="34">
        <f>17</f>
        <v>17</v>
      </c>
    </row>
    <row r="301" spans="1:24" x14ac:dyDescent="0.15">
      <c r="A301" s="25" t="s">
        <v>1057</v>
      </c>
      <c r="B301" s="25" t="s">
        <v>1002</v>
      </c>
      <c r="C301" s="25" t="s">
        <v>1003</v>
      </c>
      <c r="D301" s="25" t="s">
        <v>1004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1023</f>
        <v>1023</v>
      </c>
      <c r="L301" s="32" t="s">
        <v>904</v>
      </c>
      <c r="M301" s="31">
        <f>1042</f>
        <v>1042</v>
      </c>
      <c r="N301" s="32" t="s">
        <v>695</v>
      </c>
      <c r="O301" s="31">
        <f>988</f>
        <v>988</v>
      </c>
      <c r="P301" s="32" t="s">
        <v>936</v>
      </c>
      <c r="Q301" s="31">
        <f>999</f>
        <v>999</v>
      </c>
      <c r="R301" s="32" t="s">
        <v>934</v>
      </c>
      <c r="S301" s="33">
        <f>1018.18</f>
        <v>1018.18</v>
      </c>
      <c r="T301" s="30">
        <f>46893</f>
        <v>46893</v>
      </c>
      <c r="U301" s="30" t="str">
        <f>"－"</f>
        <v>－</v>
      </c>
      <c r="V301" s="30">
        <f>47087248</f>
        <v>47087248</v>
      </c>
      <c r="W301" s="30" t="str">
        <f>"－"</f>
        <v>－</v>
      </c>
      <c r="X301" s="34">
        <f>22</f>
        <v>22</v>
      </c>
    </row>
    <row r="302" spans="1:24" x14ac:dyDescent="0.15">
      <c r="A302" s="25" t="s">
        <v>1057</v>
      </c>
      <c r="B302" s="25" t="s">
        <v>1015</v>
      </c>
      <c r="C302" s="25" t="s">
        <v>1016</v>
      </c>
      <c r="D302" s="25" t="s">
        <v>1017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2234.5</f>
        <v>2234.5</v>
      </c>
      <c r="L302" s="32" t="s">
        <v>904</v>
      </c>
      <c r="M302" s="31">
        <f>2234.5</f>
        <v>2234.5</v>
      </c>
      <c r="N302" s="32" t="s">
        <v>904</v>
      </c>
      <c r="O302" s="31">
        <f>2083.5</f>
        <v>2083.5</v>
      </c>
      <c r="P302" s="32" t="s">
        <v>87</v>
      </c>
      <c r="Q302" s="31">
        <f>2112.5</f>
        <v>2112.5</v>
      </c>
      <c r="R302" s="32" t="s">
        <v>936</v>
      </c>
      <c r="S302" s="33">
        <f>2165.88</f>
        <v>2165.88</v>
      </c>
      <c r="T302" s="30">
        <f>14790</f>
        <v>14790</v>
      </c>
      <c r="U302" s="30" t="str">
        <f>"－"</f>
        <v>－</v>
      </c>
      <c r="V302" s="30">
        <f>31596935</f>
        <v>31596935</v>
      </c>
      <c r="W302" s="30" t="str">
        <f>"－"</f>
        <v>－</v>
      </c>
      <c r="X302" s="34">
        <f>21</f>
        <v>21</v>
      </c>
    </row>
    <row r="303" spans="1:24" x14ac:dyDescent="0.15">
      <c r="A303" s="25" t="s">
        <v>1057</v>
      </c>
      <c r="B303" s="25" t="s">
        <v>1019</v>
      </c>
      <c r="C303" s="25" t="s">
        <v>1020</v>
      </c>
      <c r="D303" s="25" t="s">
        <v>1021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2208.5</f>
        <v>2208.5</v>
      </c>
      <c r="L303" s="32" t="s">
        <v>909</v>
      </c>
      <c r="M303" s="31">
        <f>2279</f>
        <v>2279</v>
      </c>
      <c r="N303" s="32" t="s">
        <v>80</v>
      </c>
      <c r="O303" s="31">
        <f>2094.5</f>
        <v>2094.5</v>
      </c>
      <c r="P303" s="32" t="s">
        <v>87</v>
      </c>
      <c r="Q303" s="31">
        <f>2142.5</f>
        <v>2142.5</v>
      </c>
      <c r="R303" s="32" t="s">
        <v>934</v>
      </c>
      <c r="S303" s="33">
        <f>2166.7</f>
        <v>2166.6999999999998</v>
      </c>
      <c r="T303" s="30">
        <f>11930</f>
        <v>11930</v>
      </c>
      <c r="U303" s="30" t="str">
        <f>"－"</f>
        <v>－</v>
      </c>
      <c r="V303" s="30">
        <f>25692650</f>
        <v>25692650</v>
      </c>
      <c r="W303" s="30" t="str">
        <f>"－"</f>
        <v>－</v>
      </c>
      <c r="X303" s="34">
        <f>20</f>
        <v>20</v>
      </c>
    </row>
    <row r="304" spans="1:24" x14ac:dyDescent="0.15">
      <c r="A304" s="25" t="s">
        <v>1057</v>
      </c>
      <c r="B304" s="25" t="s">
        <v>1007</v>
      </c>
      <c r="C304" s="25" t="s">
        <v>1008</v>
      </c>
      <c r="D304" s="25" t="s">
        <v>1009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4941</f>
        <v>4941</v>
      </c>
      <c r="L304" s="32" t="s">
        <v>909</v>
      </c>
      <c r="M304" s="31">
        <f>4993</f>
        <v>4993</v>
      </c>
      <c r="N304" s="32" t="s">
        <v>906</v>
      </c>
      <c r="O304" s="31">
        <f>4650</f>
        <v>4650</v>
      </c>
      <c r="P304" s="32" t="s">
        <v>94</v>
      </c>
      <c r="Q304" s="31">
        <f>4650</f>
        <v>4650</v>
      </c>
      <c r="R304" s="32" t="s">
        <v>94</v>
      </c>
      <c r="S304" s="33">
        <f>4807</f>
        <v>4807</v>
      </c>
      <c r="T304" s="30">
        <f>120</f>
        <v>120</v>
      </c>
      <c r="U304" s="30" t="str">
        <f>"－"</f>
        <v>－</v>
      </c>
      <c r="V304" s="30">
        <f>587780</f>
        <v>587780</v>
      </c>
      <c r="W304" s="30" t="str">
        <f>"－"</f>
        <v>－</v>
      </c>
      <c r="X304" s="34">
        <f>5</f>
        <v>5</v>
      </c>
    </row>
    <row r="305" spans="1:24" x14ac:dyDescent="0.15">
      <c r="A305" s="25" t="s">
        <v>1057</v>
      </c>
      <c r="B305" s="25" t="s">
        <v>1011</v>
      </c>
      <c r="C305" s="25" t="s">
        <v>1012</v>
      </c>
      <c r="D305" s="25" t="s">
        <v>1013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4591</f>
        <v>4591</v>
      </c>
      <c r="L305" s="32" t="s">
        <v>915</v>
      </c>
      <c r="M305" s="31">
        <f>4591</f>
        <v>4591</v>
      </c>
      <c r="N305" s="32" t="s">
        <v>915</v>
      </c>
      <c r="O305" s="31">
        <f>4396</f>
        <v>4396</v>
      </c>
      <c r="P305" s="32" t="s">
        <v>94</v>
      </c>
      <c r="Q305" s="31">
        <f>4397</f>
        <v>4397</v>
      </c>
      <c r="R305" s="32" t="s">
        <v>94</v>
      </c>
      <c r="S305" s="33">
        <f>4502.4</f>
        <v>4502.3999999999996</v>
      </c>
      <c r="T305" s="30">
        <f>46770</f>
        <v>46770</v>
      </c>
      <c r="U305" s="30">
        <f>44000</f>
        <v>44000</v>
      </c>
      <c r="V305" s="30">
        <f>215174940</f>
        <v>215174940</v>
      </c>
      <c r="W305" s="30">
        <f>202822400</f>
        <v>202822400</v>
      </c>
      <c r="X305" s="34">
        <f>5</f>
        <v>5</v>
      </c>
    </row>
    <row r="306" spans="1:24" x14ac:dyDescent="0.15">
      <c r="A306" s="25" t="s">
        <v>1057</v>
      </c>
      <c r="B306" s="25" t="s">
        <v>1022</v>
      </c>
      <c r="C306" s="25" t="s">
        <v>1023</v>
      </c>
      <c r="D306" s="25" t="s">
        <v>1024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1982.5</f>
        <v>1982.5</v>
      </c>
      <c r="L306" s="32" t="s">
        <v>904</v>
      </c>
      <c r="M306" s="31">
        <f>2217.5</f>
        <v>2217.5</v>
      </c>
      <c r="N306" s="32" t="s">
        <v>812</v>
      </c>
      <c r="O306" s="31">
        <f>1920</f>
        <v>1920</v>
      </c>
      <c r="P306" s="32" t="s">
        <v>936</v>
      </c>
      <c r="Q306" s="31">
        <f>1930</f>
        <v>1930</v>
      </c>
      <c r="R306" s="32" t="s">
        <v>934</v>
      </c>
      <c r="S306" s="33">
        <f>1965</f>
        <v>1965</v>
      </c>
      <c r="T306" s="30">
        <f>2900</f>
        <v>2900</v>
      </c>
      <c r="U306" s="30" t="str">
        <f>"－"</f>
        <v>－</v>
      </c>
      <c r="V306" s="30">
        <f>5709995</f>
        <v>5709995</v>
      </c>
      <c r="W306" s="30" t="str">
        <f>"－"</f>
        <v>－</v>
      </c>
      <c r="X306" s="34">
        <f>17</f>
        <v>17</v>
      </c>
    </row>
    <row r="307" spans="1:24" x14ac:dyDescent="0.15">
      <c r="A307" s="25" t="s">
        <v>1057</v>
      </c>
      <c r="B307" s="25" t="s">
        <v>1026</v>
      </c>
      <c r="C307" s="25" t="s">
        <v>1027</v>
      </c>
      <c r="D307" s="25" t="s">
        <v>1028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</v>
      </c>
      <c r="K307" s="31">
        <f>1076</f>
        <v>1076</v>
      </c>
      <c r="L307" s="32" t="s">
        <v>904</v>
      </c>
      <c r="M307" s="31">
        <f>1091</f>
        <v>1091</v>
      </c>
      <c r="N307" s="32" t="s">
        <v>56</v>
      </c>
      <c r="O307" s="31">
        <f>985</f>
        <v>985</v>
      </c>
      <c r="P307" s="32" t="s">
        <v>87</v>
      </c>
      <c r="Q307" s="31">
        <f>1009</f>
        <v>1009</v>
      </c>
      <c r="R307" s="32" t="s">
        <v>934</v>
      </c>
      <c r="S307" s="33">
        <f>1039.59</f>
        <v>1039.5899999999999</v>
      </c>
      <c r="T307" s="30">
        <f>26503</f>
        <v>26503</v>
      </c>
      <c r="U307" s="30" t="str">
        <f>"－"</f>
        <v>－</v>
      </c>
      <c r="V307" s="30">
        <f>27596102</f>
        <v>27596102</v>
      </c>
      <c r="W307" s="30" t="str">
        <f>"－"</f>
        <v>－</v>
      </c>
      <c r="X307" s="34">
        <f>22</f>
        <v>22</v>
      </c>
    </row>
    <row r="308" spans="1:24" x14ac:dyDescent="0.15">
      <c r="A308" s="25" t="s">
        <v>1057</v>
      </c>
      <c r="B308" s="25" t="s">
        <v>1030</v>
      </c>
      <c r="C308" s="25" t="s">
        <v>1031</v>
      </c>
      <c r="D308" s="25" t="s">
        <v>1032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989</f>
        <v>989</v>
      </c>
      <c r="L308" s="32" t="s">
        <v>904</v>
      </c>
      <c r="M308" s="31">
        <f>990</f>
        <v>990</v>
      </c>
      <c r="N308" s="32" t="s">
        <v>904</v>
      </c>
      <c r="O308" s="31">
        <f>904</f>
        <v>904</v>
      </c>
      <c r="P308" s="32" t="s">
        <v>934</v>
      </c>
      <c r="Q308" s="31">
        <f>907</f>
        <v>907</v>
      </c>
      <c r="R308" s="32" t="s">
        <v>934</v>
      </c>
      <c r="S308" s="33">
        <f>947.86</f>
        <v>947.86</v>
      </c>
      <c r="T308" s="30">
        <f>970614</f>
        <v>970614</v>
      </c>
      <c r="U308" s="30">
        <f>130</f>
        <v>130</v>
      </c>
      <c r="V308" s="30">
        <f>923015692</f>
        <v>923015692</v>
      </c>
      <c r="W308" s="30">
        <f>134390</f>
        <v>134390</v>
      </c>
      <c r="X308" s="34">
        <f>22</f>
        <v>22</v>
      </c>
    </row>
    <row r="309" spans="1:24" x14ac:dyDescent="0.15">
      <c r="A309" s="25" t="s">
        <v>1057</v>
      </c>
      <c r="B309" s="25" t="s">
        <v>1033</v>
      </c>
      <c r="C309" s="25" t="s">
        <v>1034</v>
      </c>
      <c r="D309" s="25" t="s">
        <v>1035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968</f>
        <v>968</v>
      </c>
      <c r="L309" s="32" t="s">
        <v>904</v>
      </c>
      <c r="M309" s="31">
        <f>968</f>
        <v>968</v>
      </c>
      <c r="N309" s="32" t="s">
        <v>904</v>
      </c>
      <c r="O309" s="31">
        <f>863</f>
        <v>863</v>
      </c>
      <c r="P309" s="32" t="s">
        <v>934</v>
      </c>
      <c r="Q309" s="31">
        <f>864</f>
        <v>864</v>
      </c>
      <c r="R309" s="32" t="s">
        <v>934</v>
      </c>
      <c r="S309" s="33">
        <f>917.45</f>
        <v>917.45</v>
      </c>
      <c r="T309" s="30">
        <f>1067730</f>
        <v>1067730</v>
      </c>
      <c r="U309" s="30">
        <f>429</f>
        <v>429</v>
      </c>
      <c r="V309" s="30">
        <f>978910228</f>
        <v>978910228</v>
      </c>
      <c r="W309" s="30">
        <f>380799</f>
        <v>380799</v>
      </c>
      <c r="X309" s="34">
        <f>22</f>
        <v>22</v>
      </c>
    </row>
    <row r="310" spans="1:24" x14ac:dyDescent="0.15">
      <c r="A310" s="25" t="s">
        <v>1057</v>
      </c>
      <c r="B310" s="25" t="s">
        <v>1043</v>
      </c>
      <c r="C310" s="25" t="s">
        <v>1044</v>
      </c>
      <c r="D310" s="25" t="s">
        <v>1045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1008</f>
        <v>1008</v>
      </c>
      <c r="L310" s="32" t="s">
        <v>904</v>
      </c>
      <c r="M310" s="31">
        <f>1009</f>
        <v>1009</v>
      </c>
      <c r="N310" s="32" t="s">
        <v>904</v>
      </c>
      <c r="O310" s="31">
        <f>830</f>
        <v>830</v>
      </c>
      <c r="P310" s="32" t="s">
        <v>936</v>
      </c>
      <c r="Q310" s="31">
        <f>845</f>
        <v>845</v>
      </c>
      <c r="R310" s="32" t="s">
        <v>934</v>
      </c>
      <c r="S310" s="33">
        <f>920.41</f>
        <v>920.41</v>
      </c>
      <c r="T310" s="30">
        <f>119441</f>
        <v>119441</v>
      </c>
      <c r="U310" s="30" t="str">
        <f>"－"</f>
        <v>－</v>
      </c>
      <c r="V310" s="30">
        <f>112904377</f>
        <v>112904377</v>
      </c>
      <c r="W310" s="30" t="str">
        <f>"－"</f>
        <v>－</v>
      </c>
      <c r="X310" s="34">
        <f>22</f>
        <v>22</v>
      </c>
    </row>
    <row r="311" spans="1:24" x14ac:dyDescent="0.15">
      <c r="A311" s="25" t="s">
        <v>1057</v>
      </c>
      <c r="B311" s="25" t="s">
        <v>1047</v>
      </c>
      <c r="C311" s="25" t="s">
        <v>1048</v>
      </c>
      <c r="D311" s="25" t="s">
        <v>1049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956</f>
        <v>956</v>
      </c>
      <c r="L311" s="32" t="s">
        <v>904</v>
      </c>
      <c r="M311" s="31">
        <f>956</f>
        <v>956</v>
      </c>
      <c r="N311" s="32" t="s">
        <v>904</v>
      </c>
      <c r="O311" s="31">
        <f>896</f>
        <v>896</v>
      </c>
      <c r="P311" s="32" t="s">
        <v>66</v>
      </c>
      <c r="Q311" s="31">
        <f>899</f>
        <v>899</v>
      </c>
      <c r="R311" s="32" t="s">
        <v>934</v>
      </c>
      <c r="S311" s="33">
        <f>928.41</f>
        <v>928.41</v>
      </c>
      <c r="T311" s="30">
        <f>284551</f>
        <v>284551</v>
      </c>
      <c r="U311" s="30">
        <f>260</f>
        <v>260</v>
      </c>
      <c r="V311" s="30">
        <f>264393512</f>
        <v>264393512</v>
      </c>
      <c r="W311" s="30">
        <f>235635</f>
        <v>235635</v>
      </c>
      <c r="X311" s="34">
        <f>22</f>
        <v>22</v>
      </c>
    </row>
    <row r="312" spans="1:24" x14ac:dyDescent="0.15">
      <c r="A312" s="25" t="s">
        <v>1057</v>
      </c>
      <c r="B312" s="25" t="s">
        <v>1050</v>
      </c>
      <c r="C312" s="25" t="s">
        <v>1051</v>
      </c>
      <c r="D312" s="25" t="s">
        <v>1052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20910</f>
        <v>20910</v>
      </c>
      <c r="L312" s="32" t="s">
        <v>904</v>
      </c>
      <c r="M312" s="31">
        <f>20955</f>
        <v>20955</v>
      </c>
      <c r="N312" s="32" t="s">
        <v>904</v>
      </c>
      <c r="O312" s="31">
        <f>16215</f>
        <v>16215</v>
      </c>
      <c r="P312" s="32" t="s">
        <v>936</v>
      </c>
      <c r="Q312" s="31">
        <f>16875</f>
        <v>16875</v>
      </c>
      <c r="R312" s="32" t="s">
        <v>934</v>
      </c>
      <c r="S312" s="33">
        <f>18635.45</f>
        <v>18635.45</v>
      </c>
      <c r="T312" s="30">
        <f>407372</f>
        <v>407372</v>
      </c>
      <c r="U312" s="30" t="str">
        <f>"－"</f>
        <v>－</v>
      </c>
      <c r="V312" s="30">
        <f>7551982210</f>
        <v>7551982210</v>
      </c>
      <c r="W312" s="30" t="str">
        <f>"－"</f>
        <v>－</v>
      </c>
      <c r="X312" s="34">
        <f>22</f>
        <v>22</v>
      </c>
    </row>
    <row r="313" spans="1:24" x14ac:dyDescent="0.15">
      <c r="A313" s="25" t="s">
        <v>1057</v>
      </c>
      <c r="B313" s="25" t="s">
        <v>1054</v>
      </c>
      <c r="C313" s="25" t="s">
        <v>1055</v>
      </c>
      <c r="D313" s="25" t="s">
        <v>1056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55440</f>
        <v>55440</v>
      </c>
      <c r="L313" s="32" t="s">
        <v>904</v>
      </c>
      <c r="M313" s="31">
        <f>70230</f>
        <v>70230</v>
      </c>
      <c r="N313" s="32" t="s">
        <v>936</v>
      </c>
      <c r="O313" s="31">
        <f>55440</f>
        <v>55440</v>
      </c>
      <c r="P313" s="32" t="s">
        <v>904</v>
      </c>
      <c r="Q313" s="31">
        <f>67350</f>
        <v>67350</v>
      </c>
      <c r="R313" s="32" t="s">
        <v>934</v>
      </c>
      <c r="S313" s="33">
        <f>62165</f>
        <v>62165</v>
      </c>
      <c r="T313" s="30">
        <f>85291</f>
        <v>85291</v>
      </c>
      <c r="U313" s="30" t="str">
        <f>"－"</f>
        <v>－</v>
      </c>
      <c r="V313" s="30">
        <f>5440526280</f>
        <v>5440526280</v>
      </c>
      <c r="W313" s="30" t="str">
        <f>"－"</f>
        <v>－</v>
      </c>
      <c r="X313" s="34">
        <f>22</f>
        <v>22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432C-3E64-492C-8AA4-303AB3C9E94E}">
  <sheetPr>
    <pageSetUpPr fitToPage="1"/>
  </sheetPr>
  <dimension ref="A1:X295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933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2007.5</f>
        <v>2007.5</v>
      </c>
      <c r="L7" s="32" t="s">
        <v>904</v>
      </c>
      <c r="M7" s="31">
        <f>2144.5</f>
        <v>2144.5</v>
      </c>
      <c r="N7" s="32" t="s">
        <v>818</v>
      </c>
      <c r="O7" s="31">
        <f>1849</f>
        <v>1849</v>
      </c>
      <c r="P7" s="32" t="s">
        <v>911</v>
      </c>
      <c r="Q7" s="31">
        <f>2076</f>
        <v>2076</v>
      </c>
      <c r="R7" s="32" t="s">
        <v>818</v>
      </c>
      <c r="S7" s="33">
        <f>1989.93</f>
        <v>1989.93</v>
      </c>
      <c r="T7" s="30">
        <f>5663880</f>
        <v>5663880</v>
      </c>
      <c r="U7" s="30">
        <f>362960</f>
        <v>362960</v>
      </c>
      <c r="V7" s="30">
        <f>11240536955</f>
        <v>11240536955</v>
      </c>
      <c r="W7" s="30">
        <f>730024565</f>
        <v>730024565</v>
      </c>
      <c r="X7" s="34">
        <f>22</f>
        <v>22</v>
      </c>
    </row>
    <row r="8" spans="1:24" x14ac:dyDescent="0.15">
      <c r="A8" s="25" t="s">
        <v>933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1988</f>
        <v>1988</v>
      </c>
      <c r="L8" s="32" t="s">
        <v>904</v>
      </c>
      <c r="M8" s="31">
        <f>2090</f>
        <v>2090</v>
      </c>
      <c r="N8" s="32" t="s">
        <v>934</v>
      </c>
      <c r="O8" s="31">
        <f>1828</f>
        <v>1828</v>
      </c>
      <c r="P8" s="32" t="s">
        <v>911</v>
      </c>
      <c r="Q8" s="31">
        <f>2049</f>
        <v>2049</v>
      </c>
      <c r="R8" s="32" t="s">
        <v>818</v>
      </c>
      <c r="S8" s="33">
        <f>1966.36</f>
        <v>1966.36</v>
      </c>
      <c r="T8" s="30">
        <f>60181530</f>
        <v>60181530</v>
      </c>
      <c r="U8" s="30">
        <f>8506580</f>
        <v>8506580</v>
      </c>
      <c r="V8" s="30">
        <f>117780437024</f>
        <v>117780437024</v>
      </c>
      <c r="W8" s="30">
        <f>16712343214</f>
        <v>16712343214</v>
      </c>
      <c r="X8" s="34">
        <f>22</f>
        <v>22</v>
      </c>
    </row>
    <row r="9" spans="1:24" x14ac:dyDescent="0.15">
      <c r="A9" s="25" t="s">
        <v>933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1963</f>
        <v>1963</v>
      </c>
      <c r="L9" s="32" t="s">
        <v>904</v>
      </c>
      <c r="M9" s="31">
        <f>2065.5</f>
        <v>2065.5</v>
      </c>
      <c r="N9" s="32" t="s">
        <v>934</v>
      </c>
      <c r="O9" s="31">
        <f>1808</f>
        <v>1808</v>
      </c>
      <c r="P9" s="32" t="s">
        <v>911</v>
      </c>
      <c r="Q9" s="31">
        <f>2026</f>
        <v>2026</v>
      </c>
      <c r="R9" s="32" t="s">
        <v>818</v>
      </c>
      <c r="S9" s="33">
        <f>1943.75</f>
        <v>1943.75</v>
      </c>
      <c r="T9" s="30">
        <f>13018900</f>
        <v>13018900</v>
      </c>
      <c r="U9" s="30">
        <f>787000</f>
        <v>787000</v>
      </c>
      <c r="V9" s="30">
        <f>25248121328</f>
        <v>25248121328</v>
      </c>
      <c r="W9" s="30">
        <f>1568478628</f>
        <v>1568478628</v>
      </c>
      <c r="X9" s="34">
        <f>22</f>
        <v>22</v>
      </c>
    </row>
    <row r="10" spans="1:24" x14ac:dyDescent="0.15">
      <c r="A10" s="25" t="s">
        <v>933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42960</f>
        <v>42960</v>
      </c>
      <c r="L10" s="32" t="s">
        <v>904</v>
      </c>
      <c r="M10" s="31">
        <f>43920</f>
        <v>43920</v>
      </c>
      <c r="N10" s="32" t="s">
        <v>909</v>
      </c>
      <c r="O10" s="31">
        <f>38450</f>
        <v>38450</v>
      </c>
      <c r="P10" s="32" t="s">
        <v>906</v>
      </c>
      <c r="Q10" s="31">
        <f>42110</f>
        <v>42110</v>
      </c>
      <c r="R10" s="32" t="s">
        <v>818</v>
      </c>
      <c r="S10" s="33">
        <f>41201.82</f>
        <v>41201.82</v>
      </c>
      <c r="T10" s="30">
        <f>6815</f>
        <v>6815</v>
      </c>
      <c r="U10" s="30">
        <f>2</f>
        <v>2</v>
      </c>
      <c r="V10" s="30">
        <f>280516450</f>
        <v>280516450</v>
      </c>
      <c r="W10" s="30">
        <f>83760</f>
        <v>83760</v>
      </c>
      <c r="X10" s="34">
        <f>22</f>
        <v>22</v>
      </c>
    </row>
    <row r="11" spans="1:24" x14ac:dyDescent="0.15">
      <c r="A11" s="25" t="s">
        <v>933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920</f>
        <v>920</v>
      </c>
      <c r="L11" s="32" t="s">
        <v>904</v>
      </c>
      <c r="M11" s="31">
        <f>986.5</f>
        <v>986.5</v>
      </c>
      <c r="N11" s="32" t="s">
        <v>934</v>
      </c>
      <c r="O11" s="31">
        <f>843</f>
        <v>843</v>
      </c>
      <c r="P11" s="32" t="s">
        <v>912</v>
      </c>
      <c r="Q11" s="31">
        <f>970.5</f>
        <v>970.5</v>
      </c>
      <c r="R11" s="32" t="s">
        <v>818</v>
      </c>
      <c r="S11" s="33">
        <f>916.76</f>
        <v>916.76</v>
      </c>
      <c r="T11" s="30">
        <f>246950</f>
        <v>246950</v>
      </c>
      <c r="U11" s="30">
        <f>30</f>
        <v>30</v>
      </c>
      <c r="V11" s="30">
        <f>228738014</f>
        <v>228738014</v>
      </c>
      <c r="W11" s="30">
        <f>26015</f>
        <v>26015</v>
      </c>
      <c r="X11" s="34">
        <f>22</f>
        <v>22</v>
      </c>
    </row>
    <row r="12" spans="1:24" x14ac:dyDescent="0.15">
      <c r="A12" s="25" t="s">
        <v>933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19705</f>
        <v>19705</v>
      </c>
      <c r="L12" s="32" t="s">
        <v>904</v>
      </c>
      <c r="M12" s="31">
        <f>20250</f>
        <v>20250</v>
      </c>
      <c r="N12" s="32" t="s">
        <v>935</v>
      </c>
      <c r="O12" s="31">
        <f>18500</f>
        <v>18500</v>
      </c>
      <c r="P12" s="32" t="s">
        <v>70</v>
      </c>
      <c r="Q12" s="31">
        <f>19655</f>
        <v>19655</v>
      </c>
      <c r="R12" s="32" t="s">
        <v>818</v>
      </c>
      <c r="S12" s="33">
        <f>19387.95</f>
        <v>19387.95</v>
      </c>
      <c r="T12" s="30">
        <f>671</f>
        <v>671</v>
      </c>
      <c r="U12" s="30">
        <f>5</f>
        <v>5</v>
      </c>
      <c r="V12" s="30">
        <f>13017100</f>
        <v>13017100</v>
      </c>
      <c r="W12" s="30">
        <f>97675</f>
        <v>97675</v>
      </c>
      <c r="X12" s="34">
        <f>22</f>
        <v>22</v>
      </c>
    </row>
    <row r="13" spans="1:24" x14ac:dyDescent="0.15">
      <c r="A13" s="25" t="s">
        <v>933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3948</f>
        <v>3948</v>
      </c>
      <c r="L13" s="32" t="s">
        <v>904</v>
      </c>
      <c r="M13" s="31">
        <f>3948</f>
        <v>3948</v>
      </c>
      <c r="N13" s="32" t="s">
        <v>904</v>
      </c>
      <c r="O13" s="31">
        <f>3502</f>
        <v>3502</v>
      </c>
      <c r="P13" s="32" t="s">
        <v>909</v>
      </c>
      <c r="Q13" s="31">
        <f>3565</f>
        <v>3565</v>
      </c>
      <c r="R13" s="32" t="s">
        <v>934</v>
      </c>
      <c r="S13" s="33">
        <f>3581</f>
        <v>3581</v>
      </c>
      <c r="T13" s="30">
        <f>1360</f>
        <v>1360</v>
      </c>
      <c r="U13" s="30">
        <f>30</f>
        <v>30</v>
      </c>
      <c r="V13" s="30">
        <f>4879130</f>
        <v>4879130</v>
      </c>
      <c r="W13" s="30">
        <f>107190</f>
        <v>107190</v>
      </c>
      <c r="X13" s="34">
        <f>19</f>
        <v>19</v>
      </c>
    </row>
    <row r="14" spans="1:24" x14ac:dyDescent="0.15">
      <c r="A14" s="25" t="s">
        <v>933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345.7</f>
        <v>345.7</v>
      </c>
      <c r="L14" s="32" t="s">
        <v>904</v>
      </c>
      <c r="M14" s="31">
        <f>369.9</f>
        <v>369.9</v>
      </c>
      <c r="N14" s="32" t="s">
        <v>935</v>
      </c>
      <c r="O14" s="31">
        <f>334</f>
        <v>334</v>
      </c>
      <c r="P14" s="32" t="s">
        <v>70</v>
      </c>
      <c r="Q14" s="31">
        <f>362</f>
        <v>362</v>
      </c>
      <c r="R14" s="32" t="s">
        <v>815</v>
      </c>
      <c r="S14" s="33">
        <f>347.04</f>
        <v>347.04</v>
      </c>
      <c r="T14" s="30">
        <f>190000</f>
        <v>190000</v>
      </c>
      <c r="U14" s="30" t="str">
        <f>"－"</f>
        <v>－</v>
      </c>
      <c r="V14" s="30">
        <f>66749100</f>
        <v>66749100</v>
      </c>
      <c r="W14" s="30" t="str">
        <f>"－"</f>
        <v>－</v>
      </c>
      <c r="X14" s="34">
        <f>17</f>
        <v>17</v>
      </c>
    </row>
    <row r="15" spans="1:24" x14ac:dyDescent="0.15">
      <c r="A15" s="25" t="s">
        <v>933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27685</f>
        <v>27685</v>
      </c>
      <c r="L15" s="32" t="s">
        <v>904</v>
      </c>
      <c r="M15" s="31">
        <f>29395</f>
        <v>29395</v>
      </c>
      <c r="N15" s="32" t="s">
        <v>934</v>
      </c>
      <c r="O15" s="31">
        <f>25460</f>
        <v>25460</v>
      </c>
      <c r="P15" s="32" t="s">
        <v>911</v>
      </c>
      <c r="Q15" s="31">
        <f>28905</f>
        <v>28905</v>
      </c>
      <c r="R15" s="32" t="s">
        <v>818</v>
      </c>
      <c r="S15" s="33">
        <f>27422.27</f>
        <v>27422.27</v>
      </c>
      <c r="T15" s="30">
        <f>2313166</f>
        <v>2313166</v>
      </c>
      <c r="U15" s="30">
        <f>111213</f>
        <v>111213</v>
      </c>
      <c r="V15" s="30">
        <f>63225097816</f>
        <v>63225097816</v>
      </c>
      <c r="W15" s="30">
        <f>3143330096</f>
        <v>3143330096</v>
      </c>
      <c r="X15" s="34">
        <f>22</f>
        <v>22</v>
      </c>
    </row>
    <row r="16" spans="1:24" x14ac:dyDescent="0.15">
      <c r="A16" s="25" t="s">
        <v>933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27730</f>
        <v>27730</v>
      </c>
      <c r="L16" s="32" t="s">
        <v>904</v>
      </c>
      <c r="M16" s="31">
        <f>29450</f>
        <v>29450</v>
      </c>
      <c r="N16" s="32" t="s">
        <v>934</v>
      </c>
      <c r="O16" s="31">
        <f>25500</f>
        <v>25500</v>
      </c>
      <c r="P16" s="32" t="s">
        <v>911</v>
      </c>
      <c r="Q16" s="31">
        <f>29000</f>
        <v>29000</v>
      </c>
      <c r="R16" s="32" t="s">
        <v>818</v>
      </c>
      <c r="S16" s="33">
        <f>27480.91</f>
        <v>27480.91</v>
      </c>
      <c r="T16" s="30">
        <f>9024913</f>
        <v>9024913</v>
      </c>
      <c r="U16" s="30">
        <f>602014</f>
        <v>602014</v>
      </c>
      <c r="V16" s="30">
        <f>248399384933</f>
        <v>248399384933</v>
      </c>
      <c r="W16" s="30">
        <f>17085117308</f>
        <v>17085117308</v>
      </c>
      <c r="X16" s="34">
        <f>22</f>
        <v>22</v>
      </c>
    </row>
    <row r="17" spans="1:24" x14ac:dyDescent="0.15">
      <c r="A17" s="25" t="s">
        <v>933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8070</f>
        <v>8070</v>
      </c>
      <c r="L17" s="32" t="s">
        <v>904</v>
      </c>
      <c r="M17" s="31">
        <f>8090</f>
        <v>8090</v>
      </c>
      <c r="N17" s="32" t="s">
        <v>909</v>
      </c>
      <c r="O17" s="31">
        <f>7110</f>
        <v>7110</v>
      </c>
      <c r="P17" s="32" t="s">
        <v>911</v>
      </c>
      <c r="Q17" s="31">
        <f>7731</f>
        <v>7731</v>
      </c>
      <c r="R17" s="32" t="s">
        <v>818</v>
      </c>
      <c r="S17" s="33">
        <f>7670.68</f>
        <v>7670.68</v>
      </c>
      <c r="T17" s="30">
        <f>7390</f>
        <v>7390</v>
      </c>
      <c r="U17" s="30" t="str">
        <f>"－"</f>
        <v>－</v>
      </c>
      <c r="V17" s="30">
        <f>56540220</f>
        <v>56540220</v>
      </c>
      <c r="W17" s="30" t="str">
        <f>"－"</f>
        <v>－</v>
      </c>
      <c r="X17" s="34">
        <f>22</f>
        <v>22</v>
      </c>
    </row>
    <row r="18" spans="1:24" x14ac:dyDescent="0.15">
      <c r="A18" s="25" t="s">
        <v>933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 t="s">
        <v>333</v>
      </c>
      <c r="I18" s="29" t="s">
        <v>46</v>
      </c>
      <c r="J18" s="30">
        <v>100</v>
      </c>
      <c r="K18" s="31">
        <f>499.1</f>
        <v>499.1</v>
      </c>
      <c r="L18" s="32" t="s">
        <v>904</v>
      </c>
      <c r="M18" s="31">
        <f>576.9</f>
        <v>576.9</v>
      </c>
      <c r="N18" s="32" t="s">
        <v>934</v>
      </c>
      <c r="O18" s="31">
        <f>491</f>
        <v>491</v>
      </c>
      <c r="P18" s="32" t="s">
        <v>911</v>
      </c>
      <c r="Q18" s="31">
        <f>552.3</f>
        <v>552.29999999999995</v>
      </c>
      <c r="R18" s="32" t="s">
        <v>818</v>
      </c>
      <c r="S18" s="33">
        <f>521.21</f>
        <v>521.21</v>
      </c>
      <c r="T18" s="30">
        <f>187300</f>
        <v>187300</v>
      </c>
      <c r="U18" s="30" t="str">
        <f>"－"</f>
        <v>－</v>
      </c>
      <c r="V18" s="30">
        <f>98918550</f>
        <v>98918550</v>
      </c>
      <c r="W18" s="30" t="str">
        <f>"－"</f>
        <v>－</v>
      </c>
      <c r="X18" s="34">
        <f>22</f>
        <v>22</v>
      </c>
    </row>
    <row r="19" spans="1:24" x14ac:dyDescent="0.15">
      <c r="A19" s="25" t="s">
        <v>933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123</f>
        <v>123</v>
      </c>
      <c r="L19" s="32" t="s">
        <v>904</v>
      </c>
      <c r="M19" s="31">
        <f>128</f>
        <v>128</v>
      </c>
      <c r="N19" s="32" t="s">
        <v>907</v>
      </c>
      <c r="O19" s="31">
        <f>81</f>
        <v>81</v>
      </c>
      <c r="P19" s="32" t="s">
        <v>915</v>
      </c>
      <c r="Q19" s="31">
        <f>88.6</f>
        <v>88.6</v>
      </c>
      <c r="R19" s="32" t="s">
        <v>906</v>
      </c>
      <c r="S19" s="33">
        <f>105.23</f>
        <v>105.23</v>
      </c>
      <c r="T19" s="30">
        <f>4983500</f>
        <v>4983500</v>
      </c>
      <c r="U19" s="30">
        <f>800</f>
        <v>800</v>
      </c>
      <c r="V19" s="30">
        <f>531289250</f>
        <v>531289250</v>
      </c>
      <c r="W19" s="30">
        <f>96840</f>
        <v>96840</v>
      </c>
      <c r="X19" s="34">
        <f>12</f>
        <v>12</v>
      </c>
    </row>
    <row r="20" spans="1:24" x14ac:dyDescent="0.15">
      <c r="A20" s="25" t="s">
        <v>933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179.8</f>
        <v>179.8</v>
      </c>
      <c r="L20" s="32" t="s">
        <v>904</v>
      </c>
      <c r="M20" s="31">
        <f>231.6</f>
        <v>231.6</v>
      </c>
      <c r="N20" s="32" t="s">
        <v>936</v>
      </c>
      <c r="O20" s="31">
        <f>175.1</f>
        <v>175.1</v>
      </c>
      <c r="P20" s="32" t="s">
        <v>904</v>
      </c>
      <c r="Q20" s="31">
        <f>216.8</f>
        <v>216.8</v>
      </c>
      <c r="R20" s="32" t="s">
        <v>818</v>
      </c>
      <c r="S20" s="33">
        <f>193.57</f>
        <v>193.57</v>
      </c>
      <c r="T20" s="30">
        <f>1899200</f>
        <v>1899200</v>
      </c>
      <c r="U20" s="30">
        <f>900</f>
        <v>900</v>
      </c>
      <c r="V20" s="30">
        <f>384155170</f>
        <v>384155170</v>
      </c>
      <c r="W20" s="30">
        <f>165730</f>
        <v>165730</v>
      </c>
      <c r="X20" s="34">
        <f>22</f>
        <v>22</v>
      </c>
    </row>
    <row r="21" spans="1:24" x14ac:dyDescent="0.15">
      <c r="A21" s="25" t="s">
        <v>933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20475</f>
        <v>20475</v>
      </c>
      <c r="L21" s="32" t="s">
        <v>904</v>
      </c>
      <c r="M21" s="31">
        <f>22385</f>
        <v>22385</v>
      </c>
      <c r="N21" s="32" t="s">
        <v>815</v>
      </c>
      <c r="O21" s="31">
        <f>20450</f>
        <v>20450</v>
      </c>
      <c r="P21" s="32" t="s">
        <v>904</v>
      </c>
      <c r="Q21" s="31">
        <f>21900</f>
        <v>21900</v>
      </c>
      <c r="R21" s="32" t="s">
        <v>818</v>
      </c>
      <c r="S21" s="33">
        <f>21541.82</f>
        <v>21541.82</v>
      </c>
      <c r="T21" s="30">
        <f>411575</f>
        <v>411575</v>
      </c>
      <c r="U21" s="30">
        <f>56</f>
        <v>56</v>
      </c>
      <c r="V21" s="30">
        <f>8896528380</f>
        <v>8896528380</v>
      </c>
      <c r="W21" s="30">
        <f>1197305</f>
        <v>1197305</v>
      </c>
      <c r="X21" s="34">
        <f>22</f>
        <v>22</v>
      </c>
    </row>
    <row r="22" spans="1:24" x14ac:dyDescent="0.15">
      <c r="A22" s="25" t="s">
        <v>933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5537</f>
        <v>5537</v>
      </c>
      <c r="L22" s="32" t="s">
        <v>904</v>
      </c>
      <c r="M22" s="31">
        <f>6044</f>
        <v>6044</v>
      </c>
      <c r="N22" s="32" t="s">
        <v>815</v>
      </c>
      <c r="O22" s="31">
        <f>5523</f>
        <v>5523</v>
      </c>
      <c r="P22" s="32" t="s">
        <v>904</v>
      </c>
      <c r="Q22" s="31">
        <f>5909</f>
        <v>5909</v>
      </c>
      <c r="R22" s="32" t="s">
        <v>818</v>
      </c>
      <c r="S22" s="33">
        <f>5821.18</f>
        <v>5821.18</v>
      </c>
      <c r="T22" s="30">
        <f>691120</f>
        <v>691120</v>
      </c>
      <c r="U22" s="30">
        <f>150</f>
        <v>150</v>
      </c>
      <c r="V22" s="30">
        <f>4032343370</f>
        <v>4032343370</v>
      </c>
      <c r="W22" s="30">
        <f>858100</f>
        <v>858100</v>
      </c>
      <c r="X22" s="34">
        <f>22</f>
        <v>22</v>
      </c>
    </row>
    <row r="23" spans="1:24" x14ac:dyDescent="0.15">
      <c r="A23" s="25" t="s">
        <v>933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27665</f>
        <v>27665</v>
      </c>
      <c r="L23" s="32" t="s">
        <v>904</v>
      </c>
      <c r="M23" s="31">
        <f>29365</f>
        <v>29365</v>
      </c>
      <c r="N23" s="32" t="s">
        <v>934</v>
      </c>
      <c r="O23" s="31">
        <f>25435</f>
        <v>25435</v>
      </c>
      <c r="P23" s="32" t="s">
        <v>911</v>
      </c>
      <c r="Q23" s="31">
        <f>28915</f>
        <v>28915</v>
      </c>
      <c r="R23" s="32" t="s">
        <v>818</v>
      </c>
      <c r="S23" s="33">
        <f>27401.59</f>
        <v>27401.59</v>
      </c>
      <c r="T23" s="30">
        <f>985783</f>
        <v>985783</v>
      </c>
      <c r="U23" s="30">
        <f>135895</f>
        <v>135895</v>
      </c>
      <c r="V23" s="30">
        <f>26983019430</f>
        <v>26983019430</v>
      </c>
      <c r="W23" s="30">
        <f>3758171250</f>
        <v>3758171250</v>
      </c>
      <c r="X23" s="34">
        <f>22</f>
        <v>22</v>
      </c>
    </row>
    <row r="24" spans="1:24" x14ac:dyDescent="0.15">
      <c r="A24" s="25" t="s">
        <v>933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27760</f>
        <v>27760</v>
      </c>
      <c r="L24" s="32" t="s">
        <v>904</v>
      </c>
      <c r="M24" s="31">
        <f>29480</f>
        <v>29480</v>
      </c>
      <c r="N24" s="32" t="s">
        <v>934</v>
      </c>
      <c r="O24" s="31">
        <f>25535</f>
        <v>25535</v>
      </c>
      <c r="P24" s="32" t="s">
        <v>911</v>
      </c>
      <c r="Q24" s="31">
        <f>29000</f>
        <v>29000</v>
      </c>
      <c r="R24" s="32" t="s">
        <v>818</v>
      </c>
      <c r="S24" s="33">
        <f>27520.68</f>
        <v>27520.68</v>
      </c>
      <c r="T24" s="30">
        <f>1335260</f>
        <v>1335260</v>
      </c>
      <c r="U24" s="30">
        <f>104460</f>
        <v>104460</v>
      </c>
      <c r="V24" s="30">
        <f>36609429616</f>
        <v>36609429616</v>
      </c>
      <c r="W24" s="30">
        <f>2866355066</f>
        <v>2866355066</v>
      </c>
      <c r="X24" s="34">
        <f>22</f>
        <v>22</v>
      </c>
    </row>
    <row r="25" spans="1:24" x14ac:dyDescent="0.15">
      <c r="A25" s="25" t="s">
        <v>933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2025</f>
        <v>2025</v>
      </c>
      <c r="L25" s="32" t="s">
        <v>904</v>
      </c>
      <c r="M25" s="31">
        <f>2206</f>
        <v>2206</v>
      </c>
      <c r="N25" s="32" t="s">
        <v>934</v>
      </c>
      <c r="O25" s="31">
        <f>1986</f>
        <v>1986</v>
      </c>
      <c r="P25" s="32" t="s">
        <v>911</v>
      </c>
      <c r="Q25" s="31">
        <f>2158.5</f>
        <v>2158.5</v>
      </c>
      <c r="R25" s="32" t="s">
        <v>818</v>
      </c>
      <c r="S25" s="33">
        <f>2067.59</f>
        <v>2067.59</v>
      </c>
      <c r="T25" s="30">
        <f>6765410</f>
        <v>6765410</v>
      </c>
      <c r="U25" s="30">
        <f>398780</f>
        <v>398780</v>
      </c>
      <c r="V25" s="30">
        <f>14002970556</f>
        <v>14002970556</v>
      </c>
      <c r="W25" s="30">
        <f>828156641</f>
        <v>828156641</v>
      </c>
      <c r="X25" s="34">
        <f>22</f>
        <v>22</v>
      </c>
    </row>
    <row r="26" spans="1:24" x14ac:dyDescent="0.15">
      <c r="A26" s="25" t="s">
        <v>933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1917.5</f>
        <v>1917.5</v>
      </c>
      <c r="L26" s="32" t="s">
        <v>904</v>
      </c>
      <c r="M26" s="31">
        <f>2068</f>
        <v>2068</v>
      </c>
      <c r="N26" s="32" t="s">
        <v>934</v>
      </c>
      <c r="O26" s="31">
        <f>1865</f>
        <v>1865</v>
      </c>
      <c r="P26" s="32" t="s">
        <v>911</v>
      </c>
      <c r="Q26" s="31">
        <f>2031.5</f>
        <v>2031.5</v>
      </c>
      <c r="R26" s="32" t="s">
        <v>818</v>
      </c>
      <c r="S26" s="33">
        <f>1943.7</f>
        <v>1943.7</v>
      </c>
      <c r="T26" s="30">
        <f>1516700</f>
        <v>1516700</v>
      </c>
      <c r="U26" s="30">
        <f>82900</f>
        <v>82900</v>
      </c>
      <c r="V26" s="30">
        <f>2969178070</f>
        <v>2969178070</v>
      </c>
      <c r="W26" s="30">
        <f>158840970</f>
        <v>158840970</v>
      </c>
      <c r="X26" s="34">
        <f>22</f>
        <v>22</v>
      </c>
    </row>
    <row r="27" spans="1:24" x14ac:dyDescent="0.15">
      <c r="A27" s="25" t="s">
        <v>933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27650</f>
        <v>27650</v>
      </c>
      <c r="L27" s="32" t="s">
        <v>904</v>
      </c>
      <c r="M27" s="31">
        <f>29380</f>
        <v>29380</v>
      </c>
      <c r="N27" s="32" t="s">
        <v>934</v>
      </c>
      <c r="O27" s="31">
        <f>25510</f>
        <v>25510</v>
      </c>
      <c r="P27" s="32" t="s">
        <v>912</v>
      </c>
      <c r="Q27" s="31">
        <f>28880</f>
        <v>28880</v>
      </c>
      <c r="R27" s="32" t="s">
        <v>818</v>
      </c>
      <c r="S27" s="33">
        <f>27422.73</f>
        <v>27422.73</v>
      </c>
      <c r="T27" s="30">
        <f>702554</f>
        <v>702554</v>
      </c>
      <c r="U27" s="30">
        <f>96162</f>
        <v>96162</v>
      </c>
      <c r="V27" s="30">
        <f>19169233945</f>
        <v>19169233945</v>
      </c>
      <c r="W27" s="30">
        <f>2608253235</f>
        <v>2608253235</v>
      </c>
      <c r="X27" s="34">
        <f>22</f>
        <v>22</v>
      </c>
    </row>
    <row r="28" spans="1:24" x14ac:dyDescent="0.15">
      <c r="A28" s="25" t="s">
        <v>933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1967</f>
        <v>1967</v>
      </c>
      <c r="L28" s="32" t="s">
        <v>904</v>
      </c>
      <c r="M28" s="31">
        <f>2070</f>
        <v>2070</v>
      </c>
      <c r="N28" s="32" t="s">
        <v>934</v>
      </c>
      <c r="O28" s="31">
        <f>1812</f>
        <v>1812</v>
      </c>
      <c r="P28" s="32" t="s">
        <v>911</v>
      </c>
      <c r="Q28" s="31">
        <f>2030</f>
        <v>2030</v>
      </c>
      <c r="R28" s="32" t="s">
        <v>818</v>
      </c>
      <c r="S28" s="33">
        <f>1944.75</f>
        <v>1944.75</v>
      </c>
      <c r="T28" s="30">
        <f>2963800</f>
        <v>2963800</v>
      </c>
      <c r="U28" s="30">
        <f>491030</f>
        <v>491030</v>
      </c>
      <c r="V28" s="30">
        <f>5739247195</f>
        <v>5739247195</v>
      </c>
      <c r="W28" s="30">
        <f>954396485</f>
        <v>954396485</v>
      </c>
      <c r="X28" s="34">
        <f>22</f>
        <v>22</v>
      </c>
    </row>
    <row r="29" spans="1:24" x14ac:dyDescent="0.15">
      <c r="A29" s="25" t="s">
        <v>933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13590</f>
        <v>13590</v>
      </c>
      <c r="L29" s="32" t="s">
        <v>904</v>
      </c>
      <c r="M29" s="31">
        <f>14200</f>
        <v>14200</v>
      </c>
      <c r="N29" s="32" t="s">
        <v>936</v>
      </c>
      <c r="O29" s="31">
        <f>13455</f>
        <v>13455</v>
      </c>
      <c r="P29" s="32" t="s">
        <v>911</v>
      </c>
      <c r="Q29" s="31">
        <f>14100</f>
        <v>14100</v>
      </c>
      <c r="R29" s="32" t="s">
        <v>818</v>
      </c>
      <c r="S29" s="33">
        <f>13788.57</f>
        <v>13788.57</v>
      </c>
      <c r="T29" s="30">
        <f>2159</f>
        <v>2159</v>
      </c>
      <c r="U29" s="30" t="str">
        <f>"－"</f>
        <v>－</v>
      </c>
      <c r="V29" s="30">
        <f>29750750</f>
        <v>29750750</v>
      </c>
      <c r="W29" s="30" t="str">
        <f>"－"</f>
        <v>－</v>
      </c>
      <c r="X29" s="34">
        <f>21</f>
        <v>21</v>
      </c>
    </row>
    <row r="30" spans="1:24" x14ac:dyDescent="0.15">
      <c r="A30" s="25" t="s">
        <v>933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1092</f>
        <v>1092</v>
      </c>
      <c r="L30" s="32" t="s">
        <v>904</v>
      </c>
      <c r="M30" s="31">
        <f>1279.5</f>
        <v>1279.5</v>
      </c>
      <c r="N30" s="32" t="s">
        <v>911</v>
      </c>
      <c r="O30" s="31">
        <f>963</f>
        <v>963</v>
      </c>
      <c r="P30" s="32" t="s">
        <v>934</v>
      </c>
      <c r="Q30" s="31">
        <f>1000</f>
        <v>1000</v>
      </c>
      <c r="R30" s="32" t="s">
        <v>818</v>
      </c>
      <c r="S30" s="33">
        <f>1102.81</f>
        <v>1102.81</v>
      </c>
      <c r="T30" s="30">
        <f>12324830</f>
        <v>12324830</v>
      </c>
      <c r="U30" s="30">
        <f>210</f>
        <v>210</v>
      </c>
      <c r="V30" s="30">
        <f>13730296883</f>
        <v>13730296883</v>
      </c>
      <c r="W30" s="30">
        <f>239465</f>
        <v>239465</v>
      </c>
      <c r="X30" s="34">
        <f>22</f>
        <v>22</v>
      </c>
    </row>
    <row r="31" spans="1:24" x14ac:dyDescent="0.15">
      <c r="A31" s="25" t="s">
        <v>933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431</f>
        <v>431</v>
      </c>
      <c r="L31" s="32" t="s">
        <v>904</v>
      </c>
      <c r="M31" s="31">
        <f>507</f>
        <v>507</v>
      </c>
      <c r="N31" s="32" t="s">
        <v>911</v>
      </c>
      <c r="O31" s="31">
        <f>372</f>
        <v>372</v>
      </c>
      <c r="P31" s="32" t="s">
        <v>934</v>
      </c>
      <c r="Q31" s="31">
        <f>386</f>
        <v>386</v>
      </c>
      <c r="R31" s="32" t="s">
        <v>818</v>
      </c>
      <c r="S31" s="33">
        <f>436.05</f>
        <v>436.05</v>
      </c>
      <c r="T31" s="30">
        <f>1692541109</f>
        <v>1692541109</v>
      </c>
      <c r="U31" s="30">
        <f>9456874</f>
        <v>9456874</v>
      </c>
      <c r="V31" s="30">
        <f>744931696945</f>
        <v>744931696945</v>
      </c>
      <c r="W31" s="30">
        <f>4158073658</f>
        <v>4158073658</v>
      </c>
      <c r="X31" s="34">
        <f>22</f>
        <v>22</v>
      </c>
    </row>
    <row r="32" spans="1:24" x14ac:dyDescent="0.15">
      <c r="A32" s="25" t="s">
        <v>933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25075</f>
        <v>25075</v>
      </c>
      <c r="L32" s="32" t="s">
        <v>904</v>
      </c>
      <c r="M32" s="31">
        <f>28130</f>
        <v>28130</v>
      </c>
      <c r="N32" s="32" t="s">
        <v>934</v>
      </c>
      <c r="O32" s="31">
        <f>21160</f>
        <v>21160</v>
      </c>
      <c r="P32" s="32" t="s">
        <v>911</v>
      </c>
      <c r="Q32" s="31">
        <f>27280</f>
        <v>27280</v>
      </c>
      <c r="R32" s="32" t="s">
        <v>818</v>
      </c>
      <c r="S32" s="33">
        <f>24587.73</f>
        <v>24587.73</v>
      </c>
      <c r="T32" s="30">
        <f>791297</f>
        <v>791297</v>
      </c>
      <c r="U32" s="30">
        <f>10</f>
        <v>10</v>
      </c>
      <c r="V32" s="30">
        <f>19314049960</f>
        <v>19314049960</v>
      </c>
      <c r="W32" s="30">
        <f>250195</f>
        <v>250195</v>
      </c>
      <c r="X32" s="34">
        <f>22</f>
        <v>22</v>
      </c>
    </row>
    <row r="33" spans="1:24" x14ac:dyDescent="0.15">
      <c r="A33" s="25" t="s">
        <v>933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1056</f>
        <v>1056</v>
      </c>
      <c r="L33" s="32" t="s">
        <v>904</v>
      </c>
      <c r="M33" s="31">
        <f>1239</f>
        <v>1239</v>
      </c>
      <c r="N33" s="32" t="s">
        <v>911</v>
      </c>
      <c r="O33" s="31">
        <f>912.3</f>
        <v>912.3</v>
      </c>
      <c r="P33" s="32" t="s">
        <v>934</v>
      </c>
      <c r="Q33" s="31">
        <f>940</f>
        <v>940</v>
      </c>
      <c r="R33" s="32" t="s">
        <v>818</v>
      </c>
      <c r="S33" s="33">
        <f>1065.07</f>
        <v>1065.07</v>
      </c>
      <c r="T33" s="30">
        <f>315008390</f>
        <v>315008390</v>
      </c>
      <c r="U33" s="30">
        <f>220</f>
        <v>220</v>
      </c>
      <c r="V33" s="30">
        <f>339098743440</f>
        <v>339098743440</v>
      </c>
      <c r="W33" s="30">
        <f>236857</f>
        <v>236857</v>
      </c>
      <c r="X33" s="34">
        <f>22</f>
        <v>22</v>
      </c>
    </row>
    <row r="34" spans="1:24" x14ac:dyDescent="0.15">
      <c r="A34" s="25" t="s">
        <v>933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17340</f>
        <v>17340</v>
      </c>
      <c r="L34" s="32" t="s">
        <v>904</v>
      </c>
      <c r="M34" s="31">
        <f>18350</f>
        <v>18350</v>
      </c>
      <c r="N34" s="32" t="s">
        <v>934</v>
      </c>
      <c r="O34" s="31">
        <f>16000</f>
        <v>16000</v>
      </c>
      <c r="P34" s="32" t="s">
        <v>821</v>
      </c>
      <c r="Q34" s="31">
        <f>18235</f>
        <v>18235</v>
      </c>
      <c r="R34" s="32" t="s">
        <v>818</v>
      </c>
      <c r="S34" s="33">
        <f>17296.59</f>
        <v>17296.59</v>
      </c>
      <c r="T34" s="30">
        <f>244461</f>
        <v>244461</v>
      </c>
      <c r="U34" s="30">
        <f>239600</f>
        <v>239600</v>
      </c>
      <c r="V34" s="30">
        <f>4163681065</f>
        <v>4163681065</v>
      </c>
      <c r="W34" s="30">
        <f>4082369920</f>
        <v>4082369920</v>
      </c>
      <c r="X34" s="34">
        <f>22</f>
        <v>22</v>
      </c>
    </row>
    <row r="35" spans="1:24" x14ac:dyDescent="0.15">
      <c r="A35" s="25" t="s">
        <v>933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20820</f>
        <v>20820</v>
      </c>
      <c r="L35" s="32" t="s">
        <v>904</v>
      </c>
      <c r="M35" s="31">
        <f>23390</f>
        <v>23390</v>
      </c>
      <c r="N35" s="32" t="s">
        <v>934</v>
      </c>
      <c r="O35" s="31">
        <f>17565</f>
        <v>17565</v>
      </c>
      <c r="P35" s="32" t="s">
        <v>911</v>
      </c>
      <c r="Q35" s="31">
        <f>22620</f>
        <v>22620</v>
      </c>
      <c r="R35" s="32" t="s">
        <v>818</v>
      </c>
      <c r="S35" s="33">
        <f>20434.32</f>
        <v>20434.32</v>
      </c>
      <c r="T35" s="30">
        <f>1644929</f>
        <v>1644929</v>
      </c>
      <c r="U35" s="30">
        <f>6</f>
        <v>6</v>
      </c>
      <c r="V35" s="30">
        <f>33735452440</f>
        <v>33735452440</v>
      </c>
      <c r="W35" s="30">
        <f>115770</f>
        <v>115770</v>
      </c>
      <c r="X35" s="34">
        <f>22</f>
        <v>22</v>
      </c>
    </row>
    <row r="36" spans="1:24" x14ac:dyDescent="0.15">
      <c r="A36" s="25" t="s">
        <v>933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1130</f>
        <v>1130</v>
      </c>
      <c r="L36" s="32" t="s">
        <v>904</v>
      </c>
      <c r="M36" s="31">
        <f>1324</f>
        <v>1324</v>
      </c>
      <c r="N36" s="32" t="s">
        <v>911</v>
      </c>
      <c r="O36" s="31">
        <f>976</f>
        <v>976</v>
      </c>
      <c r="P36" s="32" t="s">
        <v>934</v>
      </c>
      <c r="Q36" s="31">
        <f>1006</f>
        <v>1006</v>
      </c>
      <c r="R36" s="32" t="s">
        <v>818</v>
      </c>
      <c r="S36" s="33">
        <f>1138.09</f>
        <v>1138.0899999999999</v>
      </c>
      <c r="T36" s="30">
        <f>37116150</f>
        <v>37116150</v>
      </c>
      <c r="U36" s="30">
        <f>460</f>
        <v>460</v>
      </c>
      <c r="V36" s="30">
        <f>42487618477</f>
        <v>42487618477</v>
      </c>
      <c r="W36" s="30">
        <f>467990</f>
        <v>467990</v>
      </c>
      <c r="X36" s="34">
        <f>22</f>
        <v>22</v>
      </c>
    </row>
    <row r="37" spans="1:24" x14ac:dyDescent="0.15">
      <c r="A37" s="25" t="s">
        <v>933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17745</f>
        <v>17745</v>
      </c>
      <c r="L37" s="32" t="s">
        <v>904</v>
      </c>
      <c r="M37" s="31">
        <f>19590</f>
        <v>19590</v>
      </c>
      <c r="N37" s="32" t="s">
        <v>934</v>
      </c>
      <c r="O37" s="31">
        <f>14985</f>
        <v>14985</v>
      </c>
      <c r="P37" s="32" t="s">
        <v>911</v>
      </c>
      <c r="Q37" s="31">
        <f>18880</f>
        <v>18880</v>
      </c>
      <c r="R37" s="32" t="s">
        <v>818</v>
      </c>
      <c r="S37" s="33">
        <f>17395</f>
        <v>17395</v>
      </c>
      <c r="T37" s="30">
        <f>295743</f>
        <v>295743</v>
      </c>
      <c r="U37" s="30">
        <f>4</f>
        <v>4</v>
      </c>
      <c r="V37" s="30">
        <f>5057055595</f>
        <v>5057055595</v>
      </c>
      <c r="W37" s="30">
        <f>69685</f>
        <v>69685</v>
      </c>
      <c r="X37" s="34">
        <f>22</f>
        <v>22</v>
      </c>
    </row>
    <row r="38" spans="1:24" x14ac:dyDescent="0.15">
      <c r="A38" s="25" t="s">
        <v>933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1580</f>
        <v>1580</v>
      </c>
      <c r="L38" s="32" t="s">
        <v>904</v>
      </c>
      <c r="M38" s="31">
        <f>1855</f>
        <v>1855</v>
      </c>
      <c r="N38" s="32" t="s">
        <v>911</v>
      </c>
      <c r="O38" s="31">
        <f>1394</f>
        <v>1394</v>
      </c>
      <c r="P38" s="32" t="s">
        <v>934</v>
      </c>
      <c r="Q38" s="31">
        <f>1448</f>
        <v>1448</v>
      </c>
      <c r="R38" s="32" t="s">
        <v>818</v>
      </c>
      <c r="S38" s="33">
        <f>1599</f>
        <v>1599</v>
      </c>
      <c r="T38" s="30">
        <f>1752460</f>
        <v>1752460</v>
      </c>
      <c r="U38" s="30" t="str">
        <f>"－"</f>
        <v>－</v>
      </c>
      <c r="V38" s="30">
        <f>2844698035</f>
        <v>2844698035</v>
      </c>
      <c r="W38" s="30" t="str">
        <f>"－"</f>
        <v>－</v>
      </c>
      <c r="X38" s="34">
        <f>22</f>
        <v>22</v>
      </c>
    </row>
    <row r="39" spans="1:24" x14ac:dyDescent="0.15">
      <c r="A39" s="25" t="s">
        <v>933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26835</f>
        <v>26835</v>
      </c>
      <c r="L39" s="32" t="s">
        <v>904</v>
      </c>
      <c r="M39" s="31">
        <f>28500</f>
        <v>28500</v>
      </c>
      <c r="N39" s="32" t="s">
        <v>934</v>
      </c>
      <c r="O39" s="31">
        <f>24700</f>
        <v>24700</v>
      </c>
      <c r="P39" s="32" t="s">
        <v>911</v>
      </c>
      <c r="Q39" s="31">
        <f>28030</f>
        <v>28030</v>
      </c>
      <c r="R39" s="32" t="s">
        <v>818</v>
      </c>
      <c r="S39" s="33">
        <f>26596.59</f>
        <v>26596.59</v>
      </c>
      <c r="T39" s="30">
        <f>250854</f>
        <v>250854</v>
      </c>
      <c r="U39" s="30">
        <f>17303</f>
        <v>17303</v>
      </c>
      <c r="V39" s="30">
        <f>6707576835</f>
        <v>6707576835</v>
      </c>
      <c r="W39" s="30">
        <f>482200150</f>
        <v>482200150</v>
      </c>
      <c r="X39" s="34">
        <f>22</f>
        <v>22</v>
      </c>
    </row>
    <row r="40" spans="1:24" x14ac:dyDescent="0.15">
      <c r="A40" s="25" t="s">
        <v>933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5048</f>
        <v>5048</v>
      </c>
      <c r="L40" s="32" t="s">
        <v>904</v>
      </c>
      <c r="M40" s="31">
        <f>5740</f>
        <v>5740</v>
      </c>
      <c r="N40" s="32" t="s">
        <v>936</v>
      </c>
      <c r="O40" s="31">
        <f>4445</f>
        <v>4445</v>
      </c>
      <c r="P40" s="32" t="s">
        <v>912</v>
      </c>
      <c r="Q40" s="31">
        <f>5480</f>
        <v>5480</v>
      </c>
      <c r="R40" s="32" t="s">
        <v>818</v>
      </c>
      <c r="S40" s="33">
        <f>5093.27</f>
        <v>5093.2700000000004</v>
      </c>
      <c r="T40" s="30">
        <f>27731</f>
        <v>27731</v>
      </c>
      <c r="U40" s="30">
        <f>2680</f>
        <v>2680</v>
      </c>
      <c r="V40" s="30">
        <f>138438088</f>
        <v>138438088</v>
      </c>
      <c r="W40" s="30">
        <f>12435736</f>
        <v>12435736</v>
      </c>
      <c r="X40" s="34">
        <f>22</f>
        <v>22</v>
      </c>
    </row>
    <row r="41" spans="1:24" x14ac:dyDescent="0.15">
      <c r="A41" s="25" t="s">
        <v>933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9440</f>
        <v>9440</v>
      </c>
      <c r="L41" s="32" t="s">
        <v>904</v>
      </c>
      <c r="M41" s="31">
        <f>10490</f>
        <v>10490</v>
      </c>
      <c r="N41" s="32" t="s">
        <v>934</v>
      </c>
      <c r="O41" s="31">
        <f>8322</f>
        <v>8322</v>
      </c>
      <c r="P41" s="32" t="s">
        <v>70</v>
      </c>
      <c r="Q41" s="31">
        <f>10280</f>
        <v>10280</v>
      </c>
      <c r="R41" s="32" t="s">
        <v>818</v>
      </c>
      <c r="S41" s="33">
        <f>9509.36</f>
        <v>9509.36</v>
      </c>
      <c r="T41" s="30">
        <f>4470</f>
        <v>4470</v>
      </c>
      <c r="U41" s="30" t="str">
        <f t="shared" ref="U41:U47" si="0">"－"</f>
        <v>－</v>
      </c>
      <c r="V41" s="30">
        <f>41799628</f>
        <v>41799628</v>
      </c>
      <c r="W41" s="30" t="str">
        <f t="shared" ref="W41:W47" si="1">"－"</f>
        <v>－</v>
      </c>
      <c r="X41" s="34">
        <f>22</f>
        <v>22</v>
      </c>
    </row>
    <row r="42" spans="1:24" x14ac:dyDescent="0.15">
      <c r="A42" s="25" t="s">
        <v>933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18065</f>
        <v>18065</v>
      </c>
      <c r="L42" s="32" t="s">
        <v>904</v>
      </c>
      <c r="M42" s="31">
        <f>19240</f>
        <v>19240</v>
      </c>
      <c r="N42" s="32" t="s">
        <v>934</v>
      </c>
      <c r="O42" s="31">
        <f>15195</f>
        <v>15195</v>
      </c>
      <c r="P42" s="32" t="s">
        <v>70</v>
      </c>
      <c r="Q42" s="31">
        <f>18950</f>
        <v>18950</v>
      </c>
      <c r="R42" s="32" t="s">
        <v>934</v>
      </c>
      <c r="S42" s="33">
        <f>17516</f>
        <v>17516</v>
      </c>
      <c r="T42" s="30">
        <f>1592</f>
        <v>1592</v>
      </c>
      <c r="U42" s="30" t="str">
        <f t="shared" si="0"/>
        <v>－</v>
      </c>
      <c r="V42" s="30">
        <f>27332925</f>
        <v>27332925</v>
      </c>
      <c r="W42" s="30" t="str">
        <f t="shared" si="1"/>
        <v>－</v>
      </c>
      <c r="X42" s="34">
        <f>20</f>
        <v>20</v>
      </c>
    </row>
    <row r="43" spans="1:24" x14ac:dyDescent="0.15">
      <c r="A43" s="25" t="s">
        <v>933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15445</f>
        <v>15445</v>
      </c>
      <c r="L43" s="32" t="s">
        <v>909</v>
      </c>
      <c r="M43" s="31">
        <f>17070</f>
        <v>17070</v>
      </c>
      <c r="N43" s="32" t="s">
        <v>934</v>
      </c>
      <c r="O43" s="31">
        <f>13500</f>
        <v>13500</v>
      </c>
      <c r="P43" s="32" t="s">
        <v>70</v>
      </c>
      <c r="Q43" s="31">
        <f>17070</f>
        <v>17070</v>
      </c>
      <c r="R43" s="32" t="s">
        <v>934</v>
      </c>
      <c r="S43" s="33">
        <f>14966</f>
        <v>14966</v>
      </c>
      <c r="T43" s="30">
        <f>99</f>
        <v>99</v>
      </c>
      <c r="U43" s="30" t="str">
        <f t="shared" si="0"/>
        <v>－</v>
      </c>
      <c r="V43" s="30">
        <f>1423910</f>
        <v>1423910</v>
      </c>
      <c r="W43" s="30" t="str">
        <f t="shared" si="1"/>
        <v>－</v>
      </c>
      <c r="X43" s="34">
        <f>10</f>
        <v>10</v>
      </c>
    </row>
    <row r="44" spans="1:24" x14ac:dyDescent="0.15">
      <c r="A44" s="25" t="s">
        <v>933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10475</f>
        <v>10475</v>
      </c>
      <c r="L44" s="32" t="s">
        <v>904</v>
      </c>
      <c r="M44" s="31">
        <f>11360</f>
        <v>11360</v>
      </c>
      <c r="N44" s="32" t="s">
        <v>936</v>
      </c>
      <c r="O44" s="31">
        <f>9500</f>
        <v>9500</v>
      </c>
      <c r="P44" s="32" t="s">
        <v>70</v>
      </c>
      <c r="Q44" s="31">
        <f>11145</f>
        <v>11145</v>
      </c>
      <c r="R44" s="32" t="s">
        <v>818</v>
      </c>
      <c r="S44" s="33">
        <f>10560.86</f>
        <v>10560.86</v>
      </c>
      <c r="T44" s="30">
        <f>1871</f>
        <v>1871</v>
      </c>
      <c r="U44" s="30" t="str">
        <f t="shared" si="0"/>
        <v>－</v>
      </c>
      <c r="V44" s="30">
        <f>19431683</f>
        <v>19431683</v>
      </c>
      <c r="W44" s="30" t="str">
        <f t="shared" si="1"/>
        <v>－</v>
      </c>
      <c r="X44" s="34">
        <f>22</f>
        <v>22</v>
      </c>
    </row>
    <row r="45" spans="1:24" x14ac:dyDescent="0.15">
      <c r="A45" s="25" t="s">
        <v>933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5150</f>
        <v>5150</v>
      </c>
      <c r="L45" s="32" t="s">
        <v>904</v>
      </c>
      <c r="M45" s="31">
        <f>5940</f>
        <v>5940</v>
      </c>
      <c r="N45" s="32" t="s">
        <v>936</v>
      </c>
      <c r="O45" s="31">
        <f>5010</f>
        <v>5010</v>
      </c>
      <c r="P45" s="32" t="s">
        <v>911</v>
      </c>
      <c r="Q45" s="31">
        <f>5870</f>
        <v>5870</v>
      </c>
      <c r="R45" s="32" t="s">
        <v>818</v>
      </c>
      <c r="S45" s="33">
        <f>5404.55</f>
        <v>5404.55</v>
      </c>
      <c r="T45" s="30">
        <f>3202</f>
        <v>3202</v>
      </c>
      <c r="U45" s="30" t="str">
        <f t="shared" si="0"/>
        <v>－</v>
      </c>
      <c r="V45" s="30">
        <f>17404690</f>
        <v>17404690</v>
      </c>
      <c r="W45" s="30" t="str">
        <f t="shared" si="1"/>
        <v>－</v>
      </c>
      <c r="X45" s="34">
        <f>22</f>
        <v>22</v>
      </c>
    </row>
    <row r="46" spans="1:24" x14ac:dyDescent="0.15">
      <c r="A46" s="25" t="s">
        <v>933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2866</f>
        <v>2866</v>
      </c>
      <c r="L46" s="32" t="s">
        <v>904</v>
      </c>
      <c r="M46" s="31">
        <f>3175</f>
        <v>3175</v>
      </c>
      <c r="N46" s="32" t="s">
        <v>934</v>
      </c>
      <c r="O46" s="31">
        <f>2610</f>
        <v>2610</v>
      </c>
      <c r="P46" s="32" t="s">
        <v>70</v>
      </c>
      <c r="Q46" s="31">
        <f>3130</f>
        <v>3130</v>
      </c>
      <c r="R46" s="32" t="s">
        <v>818</v>
      </c>
      <c r="S46" s="33">
        <f>2924.73</f>
        <v>2924.73</v>
      </c>
      <c r="T46" s="30">
        <f>5947</f>
        <v>5947</v>
      </c>
      <c r="U46" s="30" t="str">
        <f t="shared" si="0"/>
        <v>－</v>
      </c>
      <c r="V46" s="30">
        <f>17256135</f>
        <v>17256135</v>
      </c>
      <c r="W46" s="30" t="str">
        <f t="shared" si="1"/>
        <v>－</v>
      </c>
      <c r="X46" s="34">
        <f>22</f>
        <v>22</v>
      </c>
    </row>
    <row r="47" spans="1:24" x14ac:dyDescent="0.15">
      <c r="A47" s="25" t="s">
        <v>933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2877</f>
        <v>2877</v>
      </c>
      <c r="L47" s="32" t="s">
        <v>904</v>
      </c>
      <c r="M47" s="31">
        <f>3080</f>
        <v>3080</v>
      </c>
      <c r="N47" s="32" t="s">
        <v>818</v>
      </c>
      <c r="O47" s="31">
        <f>2570</f>
        <v>2570</v>
      </c>
      <c r="P47" s="32" t="s">
        <v>70</v>
      </c>
      <c r="Q47" s="31">
        <f>3070</f>
        <v>3070</v>
      </c>
      <c r="R47" s="32" t="s">
        <v>818</v>
      </c>
      <c r="S47" s="33">
        <f>2862.91</f>
        <v>2862.91</v>
      </c>
      <c r="T47" s="30">
        <f>3084</f>
        <v>3084</v>
      </c>
      <c r="U47" s="30" t="str">
        <f t="shared" si="0"/>
        <v>－</v>
      </c>
      <c r="V47" s="30">
        <f>8673225</f>
        <v>8673225</v>
      </c>
      <c r="W47" s="30" t="str">
        <f t="shared" si="1"/>
        <v>－</v>
      </c>
      <c r="X47" s="34">
        <f>22</f>
        <v>22</v>
      </c>
    </row>
    <row r="48" spans="1:24" x14ac:dyDescent="0.15">
      <c r="A48" s="25" t="s">
        <v>933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49720</f>
        <v>49720</v>
      </c>
      <c r="L48" s="32" t="s">
        <v>904</v>
      </c>
      <c r="M48" s="31">
        <f>56230</f>
        <v>56230</v>
      </c>
      <c r="N48" s="32" t="s">
        <v>934</v>
      </c>
      <c r="O48" s="31">
        <f>47010</f>
        <v>47010</v>
      </c>
      <c r="P48" s="32" t="s">
        <v>912</v>
      </c>
      <c r="Q48" s="31">
        <f>54680</f>
        <v>54680</v>
      </c>
      <c r="R48" s="32" t="s">
        <v>818</v>
      </c>
      <c r="S48" s="33">
        <f>50881.82</f>
        <v>50881.82</v>
      </c>
      <c r="T48" s="30">
        <f>1626</f>
        <v>1626</v>
      </c>
      <c r="U48" s="30">
        <f>4</f>
        <v>4</v>
      </c>
      <c r="V48" s="30">
        <f>84527940</f>
        <v>84527940</v>
      </c>
      <c r="W48" s="30">
        <f>196790</f>
        <v>196790</v>
      </c>
      <c r="X48" s="34">
        <f>22</f>
        <v>22</v>
      </c>
    </row>
    <row r="49" spans="1:24" x14ac:dyDescent="0.15">
      <c r="A49" s="25" t="s">
        <v>933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34790</f>
        <v>34790</v>
      </c>
      <c r="L49" s="32" t="s">
        <v>904</v>
      </c>
      <c r="M49" s="31">
        <f>39050</f>
        <v>39050</v>
      </c>
      <c r="N49" s="32" t="s">
        <v>818</v>
      </c>
      <c r="O49" s="31">
        <f>32580</f>
        <v>32580</v>
      </c>
      <c r="P49" s="32" t="s">
        <v>912</v>
      </c>
      <c r="Q49" s="31">
        <f>39050</f>
        <v>39050</v>
      </c>
      <c r="R49" s="32" t="s">
        <v>818</v>
      </c>
      <c r="S49" s="33">
        <f>35607.5</f>
        <v>35607.5</v>
      </c>
      <c r="T49" s="30">
        <f>928</f>
        <v>928</v>
      </c>
      <c r="U49" s="30">
        <f>292</f>
        <v>292</v>
      </c>
      <c r="V49" s="30">
        <f>34822812</f>
        <v>34822812</v>
      </c>
      <c r="W49" s="30">
        <f>11292032</f>
        <v>11292032</v>
      </c>
      <c r="X49" s="34">
        <f>16</f>
        <v>16</v>
      </c>
    </row>
    <row r="50" spans="1:24" x14ac:dyDescent="0.15">
      <c r="A50" s="25" t="s">
        <v>933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27250</f>
        <v>27250</v>
      </c>
      <c r="L50" s="32" t="s">
        <v>904</v>
      </c>
      <c r="M50" s="31">
        <f>28795</f>
        <v>28795</v>
      </c>
      <c r="N50" s="32" t="s">
        <v>934</v>
      </c>
      <c r="O50" s="31">
        <f>24990</f>
        <v>24990</v>
      </c>
      <c r="P50" s="32" t="s">
        <v>911</v>
      </c>
      <c r="Q50" s="31">
        <f>28360</f>
        <v>28360</v>
      </c>
      <c r="R50" s="32" t="s">
        <v>818</v>
      </c>
      <c r="S50" s="33">
        <f>26866.59</f>
        <v>26866.59</v>
      </c>
      <c r="T50" s="30">
        <f>28770</f>
        <v>28770</v>
      </c>
      <c r="U50" s="30">
        <f>605</f>
        <v>605</v>
      </c>
      <c r="V50" s="30">
        <f>755420894</f>
        <v>755420894</v>
      </c>
      <c r="W50" s="30">
        <f>15746244</f>
        <v>15746244</v>
      </c>
      <c r="X50" s="34">
        <f>22</f>
        <v>22</v>
      </c>
    </row>
    <row r="51" spans="1:24" x14ac:dyDescent="0.15">
      <c r="A51" s="25" t="s">
        <v>933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1936</f>
        <v>1936</v>
      </c>
      <c r="L51" s="32" t="s">
        <v>904</v>
      </c>
      <c r="M51" s="31">
        <f>2087</f>
        <v>2087</v>
      </c>
      <c r="N51" s="32" t="s">
        <v>934</v>
      </c>
      <c r="O51" s="31">
        <f>1888</f>
        <v>1888</v>
      </c>
      <c r="P51" s="32" t="s">
        <v>911</v>
      </c>
      <c r="Q51" s="31">
        <f>2050.5</f>
        <v>2050.5</v>
      </c>
      <c r="R51" s="32" t="s">
        <v>818</v>
      </c>
      <c r="S51" s="33">
        <f>1964.89</f>
        <v>1964.89</v>
      </c>
      <c r="T51" s="30">
        <f>927020</f>
        <v>927020</v>
      </c>
      <c r="U51" s="30">
        <f>798250</f>
        <v>798250</v>
      </c>
      <c r="V51" s="30">
        <f>1820697717</f>
        <v>1820697717</v>
      </c>
      <c r="W51" s="30">
        <f>1566723177</f>
        <v>1566723177</v>
      </c>
      <c r="X51" s="34">
        <f>22</f>
        <v>22</v>
      </c>
    </row>
    <row r="52" spans="1:24" x14ac:dyDescent="0.15">
      <c r="A52" s="25" t="s">
        <v>933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1571.5</f>
        <v>1571.5</v>
      </c>
      <c r="L52" s="32" t="s">
        <v>904</v>
      </c>
      <c r="M52" s="31">
        <f>1657</f>
        <v>1657</v>
      </c>
      <c r="N52" s="32" t="s">
        <v>820</v>
      </c>
      <c r="O52" s="31">
        <f>1475.5</f>
        <v>1475.5</v>
      </c>
      <c r="P52" s="32" t="s">
        <v>911</v>
      </c>
      <c r="Q52" s="31">
        <f>1609</f>
        <v>1609</v>
      </c>
      <c r="R52" s="32" t="s">
        <v>818</v>
      </c>
      <c r="S52" s="33">
        <f>1552.83</f>
        <v>1552.83</v>
      </c>
      <c r="T52" s="30">
        <f>10000</f>
        <v>10000</v>
      </c>
      <c r="U52" s="30" t="str">
        <f>"－"</f>
        <v>－</v>
      </c>
      <c r="V52" s="30">
        <f>15370915</f>
        <v>15370915</v>
      </c>
      <c r="W52" s="30" t="str">
        <f>"－"</f>
        <v>－</v>
      </c>
      <c r="X52" s="34">
        <f>18</f>
        <v>18</v>
      </c>
    </row>
    <row r="53" spans="1:24" x14ac:dyDescent="0.15">
      <c r="A53" s="25" t="s">
        <v>933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4480</f>
        <v>4480</v>
      </c>
      <c r="L53" s="32" t="s">
        <v>904</v>
      </c>
      <c r="M53" s="31">
        <f>4865</f>
        <v>4865</v>
      </c>
      <c r="N53" s="32" t="s">
        <v>911</v>
      </c>
      <c r="O53" s="31">
        <f>4175</f>
        <v>4175</v>
      </c>
      <c r="P53" s="32" t="s">
        <v>934</v>
      </c>
      <c r="Q53" s="31">
        <f>4240</f>
        <v>4240</v>
      </c>
      <c r="R53" s="32" t="s">
        <v>818</v>
      </c>
      <c r="S53" s="33">
        <f>4507.05</f>
        <v>4507.05</v>
      </c>
      <c r="T53" s="30">
        <f>2050331</f>
        <v>2050331</v>
      </c>
      <c r="U53" s="30">
        <f>1314000</f>
        <v>1314000</v>
      </c>
      <c r="V53" s="30">
        <f>9256121160</f>
        <v>9256121160</v>
      </c>
      <c r="W53" s="30">
        <f>5910584400</f>
        <v>5910584400</v>
      </c>
      <c r="X53" s="34">
        <f>22</f>
        <v>22</v>
      </c>
    </row>
    <row r="54" spans="1:24" x14ac:dyDescent="0.15">
      <c r="A54" s="25" t="s">
        <v>933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5230</f>
        <v>5230</v>
      </c>
      <c r="L54" s="32" t="s">
        <v>904</v>
      </c>
      <c r="M54" s="31">
        <f>5660</f>
        <v>5660</v>
      </c>
      <c r="N54" s="32" t="s">
        <v>912</v>
      </c>
      <c r="O54" s="31">
        <f>4930</f>
        <v>4930</v>
      </c>
      <c r="P54" s="32" t="s">
        <v>934</v>
      </c>
      <c r="Q54" s="31">
        <f>5010</f>
        <v>5010</v>
      </c>
      <c r="R54" s="32" t="s">
        <v>818</v>
      </c>
      <c r="S54" s="33">
        <f>5258.41</f>
        <v>5258.41</v>
      </c>
      <c r="T54" s="30">
        <f>1342749</f>
        <v>1342749</v>
      </c>
      <c r="U54" s="30">
        <f>765000</f>
        <v>765000</v>
      </c>
      <c r="V54" s="30">
        <f>7069200175</f>
        <v>7069200175</v>
      </c>
      <c r="W54" s="30">
        <f>4127791500</f>
        <v>4127791500</v>
      </c>
      <c r="X54" s="34">
        <f>22</f>
        <v>22</v>
      </c>
    </row>
    <row r="55" spans="1:24" x14ac:dyDescent="0.15">
      <c r="A55" s="25" t="s">
        <v>933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15815</f>
        <v>15815</v>
      </c>
      <c r="L55" s="32" t="s">
        <v>904</v>
      </c>
      <c r="M55" s="31">
        <f>17775</f>
        <v>17775</v>
      </c>
      <c r="N55" s="32" t="s">
        <v>934</v>
      </c>
      <c r="O55" s="31">
        <f>13345</f>
        <v>13345</v>
      </c>
      <c r="P55" s="32" t="s">
        <v>911</v>
      </c>
      <c r="Q55" s="31">
        <f>17195</f>
        <v>17195</v>
      </c>
      <c r="R55" s="32" t="s">
        <v>818</v>
      </c>
      <c r="S55" s="33">
        <f>15529.55</f>
        <v>15529.55</v>
      </c>
      <c r="T55" s="30">
        <f>21086110</f>
        <v>21086110</v>
      </c>
      <c r="U55" s="30">
        <f>4</f>
        <v>4</v>
      </c>
      <c r="V55" s="30">
        <f>322369867620</f>
        <v>322369867620</v>
      </c>
      <c r="W55" s="30">
        <f>63135</f>
        <v>63135</v>
      </c>
      <c r="X55" s="34">
        <f>22</f>
        <v>22</v>
      </c>
    </row>
    <row r="56" spans="1:24" x14ac:dyDescent="0.15">
      <c r="A56" s="25" t="s">
        <v>933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1728</f>
        <v>1728</v>
      </c>
      <c r="L56" s="32" t="s">
        <v>904</v>
      </c>
      <c r="M56" s="31">
        <f>2030</f>
        <v>2030</v>
      </c>
      <c r="N56" s="32" t="s">
        <v>911</v>
      </c>
      <c r="O56" s="31">
        <f>1492</f>
        <v>1492</v>
      </c>
      <c r="P56" s="32" t="s">
        <v>934</v>
      </c>
      <c r="Q56" s="31">
        <f>1543</f>
        <v>1543</v>
      </c>
      <c r="R56" s="32" t="s">
        <v>818</v>
      </c>
      <c r="S56" s="33">
        <f>1745.27</f>
        <v>1745.27</v>
      </c>
      <c r="T56" s="30">
        <f>185739915</f>
        <v>185739915</v>
      </c>
      <c r="U56" s="30">
        <f>142720</f>
        <v>142720</v>
      </c>
      <c r="V56" s="30">
        <f>329116537706</f>
        <v>329116537706</v>
      </c>
      <c r="W56" s="30">
        <f>287861289</f>
        <v>287861289</v>
      </c>
      <c r="X56" s="34">
        <f>22</f>
        <v>22</v>
      </c>
    </row>
    <row r="57" spans="1:24" x14ac:dyDescent="0.15">
      <c r="A57" s="25" t="s">
        <v>933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14035</f>
        <v>14035</v>
      </c>
      <c r="L57" s="32" t="s">
        <v>904</v>
      </c>
      <c r="M57" s="31">
        <f>15615</f>
        <v>15615</v>
      </c>
      <c r="N57" s="32" t="s">
        <v>934</v>
      </c>
      <c r="O57" s="31">
        <f>11900</f>
        <v>11900</v>
      </c>
      <c r="P57" s="32" t="s">
        <v>821</v>
      </c>
      <c r="Q57" s="31">
        <f>15025</f>
        <v>15025</v>
      </c>
      <c r="R57" s="32" t="s">
        <v>818</v>
      </c>
      <c r="S57" s="33">
        <f>13811.82</f>
        <v>13811.82</v>
      </c>
      <c r="T57" s="30">
        <f>14460</f>
        <v>14460</v>
      </c>
      <c r="U57" s="30" t="str">
        <f t="shared" ref="U57:U66" si="2">"－"</f>
        <v>－</v>
      </c>
      <c r="V57" s="30">
        <f>195569695</f>
        <v>195569695</v>
      </c>
      <c r="W57" s="30" t="str">
        <f t="shared" ref="W57:W66" si="3">"－"</f>
        <v>－</v>
      </c>
      <c r="X57" s="34">
        <f>22</f>
        <v>22</v>
      </c>
    </row>
    <row r="58" spans="1:24" x14ac:dyDescent="0.15">
      <c r="A58" s="25" t="s">
        <v>933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5210</f>
        <v>5210</v>
      </c>
      <c r="L58" s="32" t="s">
        <v>909</v>
      </c>
      <c r="M58" s="31">
        <f>5440</f>
        <v>5440</v>
      </c>
      <c r="N58" s="32" t="s">
        <v>911</v>
      </c>
      <c r="O58" s="31">
        <f>4795</f>
        <v>4795</v>
      </c>
      <c r="P58" s="32" t="s">
        <v>818</v>
      </c>
      <c r="Q58" s="31">
        <f>4900</f>
        <v>4900</v>
      </c>
      <c r="R58" s="32" t="s">
        <v>818</v>
      </c>
      <c r="S58" s="33">
        <f>5082.06</f>
        <v>5082.0600000000004</v>
      </c>
      <c r="T58" s="30">
        <f>2471</f>
        <v>2471</v>
      </c>
      <c r="U58" s="30" t="str">
        <f t="shared" si="2"/>
        <v>－</v>
      </c>
      <c r="V58" s="30">
        <f>12940780</f>
        <v>12940780</v>
      </c>
      <c r="W58" s="30" t="str">
        <f t="shared" si="3"/>
        <v>－</v>
      </c>
      <c r="X58" s="34">
        <f>17</f>
        <v>17</v>
      </c>
    </row>
    <row r="59" spans="1:24" x14ac:dyDescent="0.15">
      <c r="A59" s="25" t="s">
        <v>933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2048</f>
        <v>2048</v>
      </c>
      <c r="L59" s="32" t="s">
        <v>904</v>
      </c>
      <c r="M59" s="31">
        <f>2388</f>
        <v>2388</v>
      </c>
      <c r="N59" s="32" t="s">
        <v>912</v>
      </c>
      <c r="O59" s="31">
        <f>1802</f>
        <v>1802</v>
      </c>
      <c r="P59" s="32" t="s">
        <v>934</v>
      </c>
      <c r="Q59" s="31">
        <f>1874</f>
        <v>1874</v>
      </c>
      <c r="R59" s="32" t="s">
        <v>818</v>
      </c>
      <c r="S59" s="33">
        <f>2073.23</f>
        <v>2073.23</v>
      </c>
      <c r="T59" s="30">
        <f>53223</f>
        <v>53223</v>
      </c>
      <c r="U59" s="30" t="str">
        <f t="shared" si="2"/>
        <v>－</v>
      </c>
      <c r="V59" s="30">
        <f>112639254</f>
        <v>112639254</v>
      </c>
      <c r="W59" s="30" t="str">
        <f t="shared" si="3"/>
        <v>－</v>
      </c>
      <c r="X59" s="34">
        <f>22</f>
        <v>22</v>
      </c>
    </row>
    <row r="60" spans="1:24" x14ac:dyDescent="0.15">
      <c r="A60" s="25" t="s">
        <v>933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13200</f>
        <v>13200</v>
      </c>
      <c r="L60" s="32" t="s">
        <v>904</v>
      </c>
      <c r="M60" s="31">
        <f>14930</f>
        <v>14930</v>
      </c>
      <c r="N60" s="32" t="s">
        <v>934</v>
      </c>
      <c r="O60" s="31">
        <f>11170</f>
        <v>11170</v>
      </c>
      <c r="P60" s="32" t="s">
        <v>911</v>
      </c>
      <c r="Q60" s="31">
        <f>14330</f>
        <v>14330</v>
      </c>
      <c r="R60" s="32" t="s">
        <v>818</v>
      </c>
      <c r="S60" s="33">
        <f>13039.32</f>
        <v>13039.32</v>
      </c>
      <c r="T60" s="30">
        <f>11510</f>
        <v>11510</v>
      </c>
      <c r="U60" s="30" t="str">
        <f t="shared" si="2"/>
        <v>－</v>
      </c>
      <c r="V60" s="30">
        <f>152378800</f>
        <v>152378800</v>
      </c>
      <c r="W60" s="30" t="str">
        <f t="shared" si="3"/>
        <v>－</v>
      </c>
      <c r="X60" s="34">
        <f>22</f>
        <v>22</v>
      </c>
    </row>
    <row r="61" spans="1:24" x14ac:dyDescent="0.15">
      <c r="A61" s="25" t="s">
        <v>933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4731</f>
        <v>4731</v>
      </c>
      <c r="L61" s="32" t="s">
        <v>904</v>
      </c>
      <c r="M61" s="31">
        <f>5111</f>
        <v>5111</v>
      </c>
      <c r="N61" s="32" t="s">
        <v>912</v>
      </c>
      <c r="O61" s="31">
        <f>4493</f>
        <v>4493</v>
      </c>
      <c r="P61" s="32" t="s">
        <v>905</v>
      </c>
      <c r="Q61" s="31">
        <f>4555</f>
        <v>4555</v>
      </c>
      <c r="R61" s="32" t="s">
        <v>94</v>
      </c>
      <c r="S61" s="33">
        <f>4810</f>
        <v>4810</v>
      </c>
      <c r="T61" s="30">
        <f>2140</f>
        <v>2140</v>
      </c>
      <c r="U61" s="30" t="str">
        <f t="shared" si="2"/>
        <v>－</v>
      </c>
      <c r="V61" s="30">
        <f>10583280</f>
        <v>10583280</v>
      </c>
      <c r="W61" s="30" t="str">
        <f t="shared" si="3"/>
        <v>－</v>
      </c>
      <c r="X61" s="34">
        <f>12</f>
        <v>12</v>
      </c>
    </row>
    <row r="62" spans="1:24" x14ac:dyDescent="0.15">
      <c r="A62" s="25" t="s">
        <v>933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2035</f>
        <v>2035</v>
      </c>
      <c r="L62" s="32" t="s">
        <v>904</v>
      </c>
      <c r="M62" s="31">
        <f>2450</f>
        <v>2450</v>
      </c>
      <c r="N62" s="32" t="s">
        <v>911</v>
      </c>
      <c r="O62" s="31">
        <f>1800.5</f>
        <v>1800.5</v>
      </c>
      <c r="P62" s="32" t="s">
        <v>934</v>
      </c>
      <c r="Q62" s="31">
        <f>1857</f>
        <v>1857</v>
      </c>
      <c r="R62" s="32" t="s">
        <v>818</v>
      </c>
      <c r="S62" s="33">
        <f>2040.2</f>
        <v>2040.2</v>
      </c>
      <c r="T62" s="30">
        <f>145100</f>
        <v>145100</v>
      </c>
      <c r="U62" s="30" t="str">
        <f t="shared" si="2"/>
        <v>－</v>
      </c>
      <c r="V62" s="30">
        <f>313596155</f>
        <v>313596155</v>
      </c>
      <c r="W62" s="30" t="str">
        <f t="shared" si="3"/>
        <v>－</v>
      </c>
      <c r="X62" s="34">
        <f>22</f>
        <v>22</v>
      </c>
    </row>
    <row r="63" spans="1:24" x14ac:dyDescent="0.15">
      <c r="A63" s="25" t="s">
        <v>933</v>
      </c>
      <c r="B63" s="25" t="s">
        <v>218</v>
      </c>
      <c r="C63" s="25" t="s">
        <v>219</v>
      </c>
      <c r="D63" s="25" t="s">
        <v>220</v>
      </c>
      <c r="E63" s="26" t="s">
        <v>937</v>
      </c>
      <c r="F63" s="27" t="s">
        <v>938</v>
      </c>
      <c r="G63" s="28" t="s">
        <v>939</v>
      </c>
      <c r="H63" s="29" t="s">
        <v>910</v>
      </c>
      <c r="I63" s="29"/>
      <c r="J63" s="30">
        <v>1</v>
      </c>
      <c r="K63" s="31">
        <f>3400</f>
        <v>3400</v>
      </c>
      <c r="L63" s="32" t="s">
        <v>904</v>
      </c>
      <c r="M63" s="31">
        <f>3545</f>
        <v>3545</v>
      </c>
      <c r="N63" s="32" t="s">
        <v>909</v>
      </c>
      <c r="O63" s="31">
        <f>3205</f>
        <v>3205</v>
      </c>
      <c r="P63" s="32" t="s">
        <v>907</v>
      </c>
      <c r="Q63" s="31">
        <f>3335</f>
        <v>3335</v>
      </c>
      <c r="R63" s="32" t="s">
        <v>814</v>
      </c>
      <c r="S63" s="33">
        <f>3323.46</f>
        <v>3323.46</v>
      </c>
      <c r="T63" s="30">
        <f>4313</f>
        <v>4313</v>
      </c>
      <c r="U63" s="30" t="str">
        <f t="shared" si="2"/>
        <v>－</v>
      </c>
      <c r="V63" s="30">
        <f>14441540</f>
        <v>14441540</v>
      </c>
      <c r="W63" s="30" t="str">
        <f t="shared" si="3"/>
        <v>－</v>
      </c>
      <c r="X63" s="34">
        <f>13</f>
        <v>13</v>
      </c>
    </row>
    <row r="64" spans="1:24" x14ac:dyDescent="0.15">
      <c r="A64" s="25" t="s">
        <v>933</v>
      </c>
      <c r="B64" s="25" t="s">
        <v>221</v>
      </c>
      <c r="C64" s="25" t="s">
        <v>222</v>
      </c>
      <c r="D64" s="25" t="s">
        <v>223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817</f>
        <v>817</v>
      </c>
      <c r="L64" s="32" t="s">
        <v>904</v>
      </c>
      <c r="M64" s="31">
        <f>957</f>
        <v>957</v>
      </c>
      <c r="N64" s="32" t="s">
        <v>912</v>
      </c>
      <c r="O64" s="31">
        <f>735</f>
        <v>735</v>
      </c>
      <c r="P64" s="32" t="s">
        <v>934</v>
      </c>
      <c r="Q64" s="31">
        <f>753</f>
        <v>753</v>
      </c>
      <c r="R64" s="32" t="s">
        <v>818</v>
      </c>
      <c r="S64" s="33">
        <f>831</f>
        <v>831</v>
      </c>
      <c r="T64" s="30">
        <f>152772</f>
        <v>152772</v>
      </c>
      <c r="U64" s="30" t="str">
        <f t="shared" si="2"/>
        <v>－</v>
      </c>
      <c r="V64" s="30">
        <f>125048281</f>
        <v>125048281</v>
      </c>
      <c r="W64" s="30" t="str">
        <f t="shared" si="3"/>
        <v>－</v>
      </c>
      <c r="X64" s="34">
        <f>22</f>
        <v>22</v>
      </c>
    </row>
    <row r="65" spans="1:24" x14ac:dyDescent="0.15">
      <c r="A65" s="25" t="s">
        <v>933</v>
      </c>
      <c r="B65" s="25" t="s">
        <v>224</v>
      </c>
      <c r="C65" s="25" t="s">
        <v>225</v>
      </c>
      <c r="D65" s="25" t="s">
        <v>226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10</v>
      </c>
      <c r="K65" s="31">
        <f>1932</f>
        <v>1932</v>
      </c>
      <c r="L65" s="32" t="s">
        <v>904</v>
      </c>
      <c r="M65" s="31">
        <f>2025</f>
        <v>2025</v>
      </c>
      <c r="N65" s="32" t="s">
        <v>934</v>
      </c>
      <c r="O65" s="31">
        <f>1779</f>
        <v>1779</v>
      </c>
      <c r="P65" s="32" t="s">
        <v>912</v>
      </c>
      <c r="Q65" s="31">
        <f>1995.5</f>
        <v>1995.5</v>
      </c>
      <c r="R65" s="32" t="s">
        <v>818</v>
      </c>
      <c r="S65" s="33">
        <f>1912.77</f>
        <v>1912.77</v>
      </c>
      <c r="T65" s="30">
        <f>933590</f>
        <v>933590</v>
      </c>
      <c r="U65" s="30" t="str">
        <f t="shared" si="2"/>
        <v>－</v>
      </c>
      <c r="V65" s="30">
        <f>1789814030</f>
        <v>1789814030</v>
      </c>
      <c r="W65" s="30" t="str">
        <f t="shared" si="3"/>
        <v>－</v>
      </c>
      <c r="X65" s="34">
        <f>22</f>
        <v>22</v>
      </c>
    </row>
    <row r="66" spans="1:24" x14ac:dyDescent="0.15">
      <c r="A66" s="25" t="s">
        <v>933</v>
      </c>
      <c r="B66" s="25" t="s">
        <v>227</v>
      </c>
      <c r="C66" s="25" t="s">
        <v>228</v>
      </c>
      <c r="D66" s="25" t="s">
        <v>229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17165</f>
        <v>17165</v>
      </c>
      <c r="L66" s="32" t="s">
        <v>904</v>
      </c>
      <c r="M66" s="31">
        <f>18180</f>
        <v>18180</v>
      </c>
      <c r="N66" s="32" t="s">
        <v>934</v>
      </c>
      <c r="O66" s="31">
        <f>15945</f>
        <v>15945</v>
      </c>
      <c r="P66" s="32" t="s">
        <v>911</v>
      </c>
      <c r="Q66" s="31">
        <f>17945</f>
        <v>17945</v>
      </c>
      <c r="R66" s="32" t="s">
        <v>818</v>
      </c>
      <c r="S66" s="33">
        <f>17141.82</f>
        <v>17141.82</v>
      </c>
      <c r="T66" s="30">
        <f>15815</f>
        <v>15815</v>
      </c>
      <c r="U66" s="30" t="str">
        <f t="shared" si="2"/>
        <v>－</v>
      </c>
      <c r="V66" s="30">
        <f>267991145</f>
        <v>267991145</v>
      </c>
      <c r="W66" s="30" t="str">
        <f t="shared" si="3"/>
        <v>－</v>
      </c>
      <c r="X66" s="34">
        <f>22</f>
        <v>22</v>
      </c>
    </row>
    <row r="67" spans="1:24" x14ac:dyDescent="0.15">
      <c r="A67" s="25" t="s">
        <v>933</v>
      </c>
      <c r="B67" s="25" t="s">
        <v>230</v>
      </c>
      <c r="C67" s="25" t="s">
        <v>231</v>
      </c>
      <c r="D67" s="25" t="s">
        <v>232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1942</f>
        <v>1942</v>
      </c>
      <c r="L67" s="32" t="s">
        <v>904</v>
      </c>
      <c r="M67" s="31">
        <f>2044</f>
        <v>2044</v>
      </c>
      <c r="N67" s="32" t="s">
        <v>934</v>
      </c>
      <c r="O67" s="31">
        <f>1787</f>
        <v>1787</v>
      </c>
      <c r="P67" s="32" t="s">
        <v>912</v>
      </c>
      <c r="Q67" s="31">
        <f>2007</f>
        <v>2007</v>
      </c>
      <c r="R67" s="32" t="s">
        <v>818</v>
      </c>
      <c r="S67" s="33">
        <f>1923.64</f>
        <v>1923.64</v>
      </c>
      <c r="T67" s="30">
        <f>15939072</f>
        <v>15939072</v>
      </c>
      <c r="U67" s="30">
        <f>6004303</f>
        <v>6004303</v>
      </c>
      <c r="V67" s="30">
        <f>30714564515</f>
        <v>30714564515</v>
      </c>
      <c r="W67" s="30">
        <f>11689691171</f>
        <v>11689691171</v>
      </c>
      <c r="X67" s="34">
        <f>22</f>
        <v>22</v>
      </c>
    </row>
    <row r="68" spans="1:24" x14ac:dyDescent="0.15">
      <c r="A68" s="25" t="s">
        <v>933</v>
      </c>
      <c r="B68" s="25" t="s">
        <v>233</v>
      </c>
      <c r="C68" s="25" t="s">
        <v>234</v>
      </c>
      <c r="D68" s="25" t="s">
        <v>235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1942</f>
        <v>1942</v>
      </c>
      <c r="L68" s="32" t="s">
        <v>904</v>
      </c>
      <c r="M68" s="31">
        <f>2116</f>
        <v>2116</v>
      </c>
      <c r="N68" s="32" t="s">
        <v>934</v>
      </c>
      <c r="O68" s="31">
        <f>1904</f>
        <v>1904</v>
      </c>
      <c r="P68" s="32" t="s">
        <v>911</v>
      </c>
      <c r="Q68" s="31">
        <f>2075</f>
        <v>2075</v>
      </c>
      <c r="R68" s="32" t="s">
        <v>818</v>
      </c>
      <c r="S68" s="33">
        <f>1984.59</f>
        <v>1984.59</v>
      </c>
      <c r="T68" s="30">
        <f>4207279</f>
        <v>4207279</v>
      </c>
      <c r="U68" s="30">
        <f>636951</f>
        <v>636951</v>
      </c>
      <c r="V68" s="30">
        <f>8385945138</f>
        <v>8385945138</v>
      </c>
      <c r="W68" s="30">
        <f>1273637479</f>
        <v>1273637479</v>
      </c>
      <c r="X68" s="34">
        <f>22</f>
        <v>22</v>
      </c>
    </row>
    <row r="69" spans="1:24" x14ac:dyDescent="0.15">
      <c r="A69" s="25" t="s">
        <v>933</v>
      </c>
      <c r="B69" s="25" t="s">
        <v>236</v>
      </c>
      <c r="C69" s="25" t="s">
        <v>237</v>
      </c>
      <c r="D69" s="25" t="s">
        <v>238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1808</f>
        <v>1808</v>
      </c>
      <c r="L69" s="32" t="s">
        <v>904</v>
      </c>
      <c r="M69" s="31">
        <f>1909</f>
        <v>1909</v>
      </c>
      <c r="N69" s="32" t="s">
        <v>934</v>
      </c>
      <c r="O69" s="31">
        <f>1717</f>
        <v>1717</v>
      </c>
      <c r="P69" s="32" t="s">
        <v>912</v>
      </c>
      <c r="Q69" s="31">
        <f>1872</f>
        <v>1872</v>
      </c>
      <c r="R69" s="32" t="s">
        <v>818</v>
      </c>
      <c r="S69" s="33">
        <f>1811.95</f>
        <v>1811.95</v>
      </c>
      <c r="T69" s="30">
        <f>69405</f>
        <v>69405</v>
      </c>
      <c r="U69" s="30">
        <f>6</f>
        <v>6</v>
      </c>
      <c r="V69" s="30">
        <f>124906874</f>
        <v>124906874</v>
      </c>
      <c r="W69" s="30">
        <f>10649</f>
        <v>10649</v>
      </c>
      <c r="X69" s="34">
        <f>22</f>
        <v>22</v>
      </c>
    </row>
    <row r="70" spans="1:24" x14ac:dyDescent="0.15">
      <c r="A70" s="25" t="s">
        <v>933</v>
      </c>
      <c r="B70" s="25" t="s">
        <v>239</v>
      </c>
      <c r="C70" s="25" t="s">
        <v>240</v>
      </c>
      <c r="D70" s="25" t="s">
        <v>241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2260</f>
        <v>2260</v>
      </c>
      <c r="L70" s="32" t="s">
        <v>904</v>
      </c>
      <c r="M70" s="31">
        <f>2420</f>
        <v>2420</v>
      </c>
      <c r="N70" s="32" t="s">
        <v>934</v>
      </c>
      <c r="O70" s="31">
        <f>2126</f>
        <v>2126</v>
      </c>
      <c r="P70" s="32" t="s">
        <v>912</v>
      </c>
      <c r="Q70" s="31">
        <f>2376</f>
        <v>2376</v>
      </c>
      <c r="R70" s="32" t="s">
        <v>818</v>
      </c>
      <c r="S70" s="33">
        <f>2278.86</f>
        <v>2278.86</v>
      </c>
      <c r="T70" s="30">
        <f>724598</f>
        <v>724598</v>
      </c>
      <c r="U70" s="30">
        <f>181006</f>
        <v>181006</v>
      </c>
      <c r="V70" s="30">
        <f>1636238445</f>
        <v>1636238445</v>
      </c>
      <c r="W70" s="30">
        <f>404535216</f>
        <v>404535216</v>
      </c>
      <c r="X70" s="34">
        <f>22</f>
        <v>22</v>
      </c>
    </row>
    <row r="71" spans="1:24" x14ac:dyDescent="0.15">
      <c r="A71" s="25" t="s">
        <v>933</v>
      </c>
      <c r="B71" s="25" t="s">
        <v>242</v>
      </c>
      <c r="C71" s="25" t="s">
        <v>243</v>
      </c>
      <c r="D71" s="25" t="s">
        <v>244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23110</f>
        <v>23110</v>
      </c>
      <c r="L71" s="32" t="s">
        <v>909</v>
      </c>
      <c r="M71" s="31">
        <f>24625</f>
        <v>24625</v>
      </c>
      <c r="N71" s="32" t="s">
        <v>935</v>
      </c>
      <c r="O71" s="31">
        <f>21700</f>
        <v>21700</v>
      </c>
      <c r="P71" s="32" t="s">
        <v>911</v>
      </c>
      <c r="Q71" s="31">
        <f>24560</f>
        <v>24560</v>
      </c>
      <c r="R71" s="32" t="s">
        <v>935</v>
      </c>
      <c r="S71" s="33">
        <f>22816.67</f>
        <v>22816.67</v>
      </c>
      <c r="T71" s="30">
        <f>47</f>
        <v>47</v>
      </c>
      <c r="U71" s="30" t="str">
        <f>"－"</f>
        <v>－</v>
      </c>
      <c r="V71" s="30">
        <f>1094770</f>
        <v>1094770</v>
      </c>
      <c r="W71" s="30" t="str">
        <f>"－"</f>
        <v>－</v>
      </c>
      <c r="X71" s="34">
        <f>12</f>
        <v>12</v>
      </c>
    </row>
    <row r="72" spans="1:24" x14ac:dyDescent="0.15">
      <c r="A72" s="25" t="s">
        <v>933</v>
      </c>
      <c r="B72" s="25" t="s">
        <v>245</v>
      </c>
      <c r="C72" s="25" t="s">
        <v>246</v>
      </c>
      <c r="D72" s="25" t="s">
        <v>247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18980</f>
        <v>18980</v>
      </c>
      <c r="L72" s="32" t="s">
        <v>909</v>
      </c>
      <c r="M72" s="31">
        <f>20040</f>
        <v>20040</v>
      </c>
      <c r="N72" s="32" t="s">
        <v>818</v>
      </c>
      <c r="O72" s="31">
        <f>17710</f>
        <v>17710</v>
      </c>
      <c r="P72" s="32" t="s">
        <v>911</v>
      </c>
      <c r="Q72" s="31">
        <f>20020</f>
        <v>20020</v>
      </c>
      <c r="R72" s="32" t="s">
        <v>818</v>
      </c>
      <c r="S72" s="33">
        <f>19001.43</f>
        <v>19001.43</v>
      </c>
      <c r="T72" s="30">
        <f>421</f>
        <v>421</v>
      </c>
      <c r="U72" s="30" t="str">
        <f>"－"</f>
        <v>－</v>
      </c>
      <c r="V72" s="30">
        <f>8220995</f>
        <v>8220995</v>
      </c>
      <c r="W72" s="30" t="str">
        <f>"－"</f>
        <v>－</v>
      </c>
      <c r="X72" s="34">
        <f>14</f>
        <v>14</v>
      </c>
    </row>
    <row r="73" spans="1:24" x14ac:dyDescent="0.15">
      <c r="A73" s="25" t="s">
        <v>933</v>
      </c>
      <c r="B73" s="25" t="s">
        <v>248</v>
      </c>
      <c r="C73" s="25" t="s">
        <v>249</v>
      </c>
      <c r="D73" s="25" t="s">
        <v>250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1924</f>
        <v>1924</v>
      </c>
      <c r="L73" s="32" t="s">
        <v>904</v>
      </c>
      <c r="M73" s="31">
        <f>2054</f>
        <v>2054</v>
      </c>
      <c r="N73" s="32" t="s">
        <v>934</v>
      </c>
      <c r="O73" s="31">
        <f>1826</f>
        <v>1826</v>
      </c>
      <c r="P73" s="32" t="s">
        <v>912</v>
      </c>
      <c r="Q73" s="31">
        <f>2048</f>
        <v>2048</v>
      </c>
      <c r="R73" s="32" t="s">
        <v>818</v>
      </c>
      <c r="S73" s="33">
        <f>1945.55</f>
        <v>1945.55</v>
      </c>
      <c r="T73" s="30">
        <f>3369</f>
        <v>3369</v>
      </c>
      <c r="U73" s="30" t="str">
        <f>"－"</f>
        <v>－</v>
      </c>
      <c r="V73" s="30">
        <f>6482384</f>
        <v>6482384</v>
      </c>
      <c r="W73" s="30" t="str">
        <f>"－"</f>
        <v>－</v>
      </c>
      <c r="X73" s="34">
        <f>20</f>
        <v>20</v>
      </c>
    </row>
    <row r="74" spans="1:24" x14ac:dyDescent="0.15">
      <c r="A74" s="25" t="s">
        <v>933</v>
      </c>
      <c r="B74" s="25" t="s">
        <v>251</v>
      </c>
      <c r="C74" s="25" t="s">
        <v>252</v>
      </c>
      <c r="D74" s="25" t="s">
        <v>253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2277</f>
        <v>2277</v>
      </c>
      <c r="L74" s="32" t="s">
        <v>904</v>
      </c>
      <c r="M74" s="31">
        <f>2305</f>
        <v>2305</v>
      </c>
      <c r="N74" s="32" t="s">
        <v>70</v>
      </c>
      <c r="O74" s="31">
        <f>2131</f>
        <v>2131</v>
      </c>
      <c r="P74" s="32" t="s">
        <v>94</v>
      </c>
      <c r="Q74" s="31">
        <f>2171</f>
        <v>2171</v>
      </c>
      <c r="R74" s="32" t="s">
        <v>818</v>
      </c>
      <c r="S74" s="33">
        <f>2220.82</f>
        <v>2220.8200000000002</v>
      </c>
      <c r="T74" s="30">
        <f>4431833</f>
        <v>4431833</v>
      </c>
      <c r="U74" s="30">
        <f>1835267</f>
        <v>1835267</v>
      </c>
      <c r="V74" s="30">
        <f>9656428826</f>
        <v>9656428826</v>
      </c>
      <c r="W74" s="30">
        <f>3989473392</f>
        <v>3989473392</v>
      </c>
      <c r="X74" s="34">
        <f>22</f>
        <v>22</v>
      </c>
    </row>
    <row r="75" spans="1:24" x14ac:dyDescent="0.15">
      <c r="A75" s="25" t="s">
        <v>933</v>
      </c>
      <c r="B75" s="25" t="s">
        <v>254</v>
      </c>
      <c r="C75" s="25" t="s">
        <v>255</v>
      </c>
      <c r="D75" s="25" t="s">
        <v>256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1906</f>
        <v>1906</v>
      </c>
      <c r="L75" s="32" t="s">
        <v>904</v>
      </c>
      <c r="M75" s="31">
        <f>2190</f>
        <v>2190</v>
      </c>
      <c r="N75" s="32" t="s">
        <v>820</v>
      </c>
      <c r="O75" s="31">
        <f>1880</f>
        <v>1880</v>
      </c>
      <c r="P75" s="32" t="s">
        <v>911</v>
      </c>
      <c r="Q75" s="31">
        <f>2076</f>
        <v>2076</v>
      </c>
      <c r="R75" s="32" t="s">
        <v>934</v>
      </c>
      <c r="S75" s="33">
        <f>1964.58</f>
        <v>1964.58</v>
      </c>
      <c r="T75" s="30">
        <f>4626</f>
        <v>4626</v>
      </c>
      <c r="U75" s="30" t="str">
        <f>"－"</f>
        <v>－</v>
      </c>
      <c r="V75" s="30">
        <f>9474671</f>
        <v>9474671</v>
      </c>
      <c r="W75" s="30" t="str">
        <f>"－"</f>
        <v>－</v>
      </c>
      <c r="X75" s="34">
        <f>19</f>
        <v>19</v>
      </c>
    </row>
    <row r="76" spans="1:24" x14ac:dyDescent="0.15">
      <c r="A76" s="25" t="s">
        <v>933</v>
      </c>
      <c r="B76" s="25" t="s">
        <v>257</v>
      </c>
      <c r="C76" s="25" t="s">
        <v>258</v>
      </c>
      <c r="D76" s="25" t="s">
        <v>259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1902.5</f>
        <v>1902.5</v>
      </c>
      <c r="L76" s="32" t="s">
        <v>904</v>
      </c>
      <c r="M76" s="31">
        <f>2021.5</f>
        <v>2021.5</v>
      </c>
      <c r="N76" s="32" t="s">
        <v>936</v>
      </c>
      <c r="O76" s="31">
        <f>1800</f>
        <v>1800</v>
      </c>
      <c r="P76" s="32" t="s">
        <v>912</v>
      </c>
      <c r="Q76" s="31">
        <f>2005</f>
        <v>2005</v>
      </c>
      <c r="R76" s="32" t="s">
        <v>818</v>
      </c>
      <c r="S76" s="33">
        <f>1915.34</f>
        <v>1915.34</v>
      </c>
      <c r="T76" s="30">
        <f>11770</f>
        <v>11770</v>
      </c>
      <c r="U76" s="30" t="str">
        <f>"－"</f>
        <v>－</v>
      </c>
      <c r="V76" s="30">
        <f>22053040</f>
        <v>22053040</v>
      </c>
      <c r="W76" s="30" t="str">
        <f>"－"</f>
        <v>－</v>
      </c>
      <c r="X76" s="34">
        <f>22</f>
        <v>22</v>
      </c>
    </row>
    <row r="77" spans="1:24" x14ac:dyDescent="0.15">
      <c r="A77" s="25" t="s">
        <v>933</v>
      </c>
      <c r="B77" s="25" t="s">
        <v>260</v>
      </c>
      <c r="C77" s="25" t="s">
        <v>261</v>
      </c>
      <c r="D77" s="25" t="s">
        <v>262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28375</f>
        <v>28375</v>
      </c>
      <c r="L77" s="32" t="s">
        <v>70</v>
      </c>
      <c r="M77" s="31">
        <f>30300</f>
        <v>30300</v>
      </c>
      <c r="N77" s="32" t="s">
        <v>815</v>
      </c>
      <c r="O77" s="31">
        <f>28375</f>
        <v>28375</v>
      </c>
      <c r="P77" s="32" t="s">
        <v>70</v>
      </c>
      <c r="Q77" s="31">
        <f>30210</f>
        <v>30210</v>
      </c>
      <c r="R77" s="32" t="s">
        <v>94</v>
      </c>
      <c r="S77" s="33">
        <f>29628.33</f>
        <v>29628.33</v>
      </c>
      <c r="T77" s="30">
        <f>6</f>
        <v>6</v>
      </c>
      <c r="U77" s="30">
        <f>1</f>
        <v>1</v>
      </c>
      <c r="V77" s="30">
        <f>174090</f>
        <v>174090</v>
      </c>
      <c r="W77" s="30">
        <f>28000</f>
        <v>28000</v>
      </c>
      <c r="X77" s="34">
        <f>3</f>
        <v>3</v>
      </c>
    </row>
    <row r="78" spans="1:24" x14ac:dyDescent="0.15">
      <c r="A78" s="25" t="s">
        <v>933</v>
      </c>
      <c r="B78" s="25" t="s">
        <v>263</v>
      </c>
      <c r="C78" s="25" t="s">
        <v>264</v>
      </c>
      <c r="D78" s="25" t="s">
        <v>265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21495</f>
        <v>21495</v>
      </c>
      <c r="L78" s="32" t="s">
        <v>904</v>
      </c>
      <c r="M78" s="31">
        <f>21980</f>
        <v>21980</v>
      </c>
      <c r="N78" s="32" t="s">
        <v>936</v>
      </c>
      <c r="O78" s="31">
        <f>21310</f>
        <v>21310</v>
      </c>
      <c r="P78" s="32" t="s">
        <v>905</v>
      </c>
      <c r="Q78" s="31">
        <f>21825</f>
        <v>21825</v>
      </c>
      <c r="R78" s="32" t="s">
        <v>818</v>
      </c>
      <c r="S78" s="33">
        <f>21610.68</f>
        <v>21610.68</v>
      </c>
      <c r="T78" s="30">
        <f>140788</f>
        <v>140788</v>
      </c>
      <c r="U78" s="30">
        <f>14302</f>
        <v>14302</v>
      </c>
      <c r="V78" s="30">
        <f>3049557815</f>
        <v>3049557815</v>
      </c>
      <c r="W78" s="30">
        <f>308805455</f>
        <v>308805455</v>
      </c>
      <c r="X78" s="34">
        <f>22</f>
        <v>22</v>
      </c>
    </row>
    <row r="79" spans="1:24" x14ac:dyDescent="0.15">
      <c r="A79" s="25" t="s">
        <v>933</v>
      </c>
      <c r="B79" s="25" t="s">
        <v>267</v>
      </c>
      <c r="C79" s="25" t="s">
        <v>268</v>
      </c>
      <c r="D79" s="25" t="s">
        <v>269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17650</f>
        <v>17650</v>
      </c>
      <c r="L79" s="32" t="s">
        <v>904</v>
      </c>
      <c r="M79" s="31">
        <f>17870</f>
        <v>17870</v>
      </c>
      <c r="N79" s="32" t="s">
        <v>70</v>
      </c>
      <c r="O79" s="31">
        <f>16540</f>
        <v>16540</v>
      </c>
      <c r="P79" s="32" t="s">
        <v>94</v>
      </c>
      <c r="Q79" s="31">
        <f>16810</f>
        <v>16810</v>
      </c>
      <c r="R79" s="32" t="s">
        <v>818</v>
      </c>
      <c r="S79" s="33">
        <f>17215.68</f>
        <v>17215.68</v>
      </c>
      <c r="T79" s="30">
        <f>1425971</f>
        <v>1425971</v>
      </c>
      <c r="U79" s="30">
        <f>1029800</f>
        <v>1029800</v>
      </c>
      <c r="V79" s="30">
        <f>24081589384</f>
        <v>24081589384</v>
      </c>
      <c r="W79" s="30">
        <f>17394719799</f>
        <v>17394719799</v>
      </c>
      <c r="X79" s="34">
        <f>22</f>
        <v>22</v>
      </c>
    </row>
    <row r="80" spans="1:24" x14ac:dyDescent="0.15">
      <c r="A80" s="25" t="s">
        <v>933</v>
      </c>
      <c r="B80" s="25" t="s">
        <v>270</v>
      </c>
      <c r="C80" s="25" t="s">
        <v>271</v>
      </c>
      <c r="D80" s="25" t="s">
        <v>272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1955.5</f>
        <v>1955.5</v>
      </c>
      <c r="L80" s="32" t="s">
        <v>904</v>
      </c>
      <c r="M80" s="31">
        <f>2105</f>
        <v>2105</v>
      </c>
      <c r="N80" s="32" t="s">
        <v>934</v>
      </c>
      <c r="O80" s="31">
        <f>1895</f>
        <v>1895</v>
      </c>
      <c r="P80" s="32" t="s">
        <v>911</v>
      </c>
      <c r="Q80" s="31">
        <f>2060</f>
        <v>2060</v>
      </c>
      <c r="R80" s="32" t="s">
        <v>818</v>
      </c>
      <c r="S80" s="33">
        <f>1976.11</f>
        <v>1976.11</v>
      </c>
      <c r="T80" s="30">
        <f>1465330</f>
        <v>1465330</v>
      </c>
      <c r="U80" s="30">
        <f>280240</f>
        <v>280240</v>
      </c>
      <c r="V80" s="30">
        <f>2903473014</f>
        <v>2903473014</v>
      </c>
      <c r="W80" s="30">
        <f>551364194</f>
        <v>551364194</v>
      </c>
      <c r="X80" s="34">
        <f>22</f>
        <v>22</v>
      </c>
    </row>
    <row r="81" spans="1:24" x14ac:dyDescent="0.15">
      <c r="A81" s="25" t="s">
        <v>933</v>
      </c>
      <c r="B81" s="25" t="s">
        <v>273</v>
      </c>
      <c r="C81" s="25" t="s">
        <v>274</v>
      </c>
      <c r="D81" s="25" t="s">
        <v>275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38920</f>
        <v>38920</v>
      </c>
      <c r="L81" s="32" t="s">
        <v>904</v>
      </c>
      <c r="M81" s="31">
        <f>41860</f>
        <v>41860</v>
      </c>
      <c r="N81" s="32" t="s">
        <v>815</v>
      </c>
      <c r="O81" s="31">
        <f>37010</f>
        <v>37010</v>
      </c>
      <c r="P81" s="32" t="s">
        <v>912</v>
      </c>
      <c r="Q81" s="31">
        <f>41110</f>
        <v>41110</v>
      </c>
      <c r="R81" s="32" t="s">
        <v>818</v>
      </c>
      <c r="S81" s="33">
        <f>39700.45</f>
        <v>39700.449999999997</v>
      </c>
      <c r="T81" s="30">
        <f>66726</f>
        <v>66726</v>
      </c>
      <c r="U81" s="30">
        <f>21</f>
        <v>21</v>
      </c>
      <c r="V81" s="30">
        <f>2656714160</f>
        <v>2656714160</v>
      </c>
      <c r="W81" s="30">
        <f>829860</f>
        <v>829860</v>
      </c>
      <c r="X81" s="34">
        <f>22</f>
        <v>22</v>
      </c>
    </row>
    <row r="82" spans="1:24" x14ac:dyDescent="0.15">
      <c r="A82" s="25" t="s">
        <v>933</v>
      </c>
      <c r="B82" s="25" t="s">
        <v>276</v>
      </c>
      <c r="C82" s="25" t="s">
        <v>277</v>
      </c>
      <c r="D82" s="25" t="s">
        <v>278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7613</f>
        <v>7613</v>
      </c>
      <c r="L82" s="32" t="s">
        <v>811</v>
      </c>
      <c r="M82" s="31">
        <f>7777</f>
        <v>7777</v>
      </c>
      <c r="N82" s="32" t="s">
        <v>70</v>
      </c>
      <c r="O82" s="31">
        <f>7444</f>
        <v>7444</v>
      </c>
      <c r="P82" s="32" t="s">
        <v>908</v>
      </c>
      <c r="Q82" s="31">
        <f>7738</f>
        <v>7738</v>
      </c>
      <c r="R82" s="32" t="s">
        <v>908</v>
      </c>
      <c r="S82" s="33">
        <f>7750.4</f>
        <v>7750.4</v>
      </c>
      <c r="T82" s="30">
        <f>34390</f>
        <v>34390</v>
      </c>
      <c r="U82" s="30">
        <f>34000</f>
        <v>34000</v>
      </c>
      <c r="V82" s="30">
        <f>264690763</f>
        <v>264690763</v>
      </c>
      <c r="W82" s="30">
        <f>261687833</f>
        <v>261687833</v>
      </c>
      <c r="X82" s="34">
        <f>5</f>
        <v>5</v>
      </c>
    </row>
    <row r="83" spans="1:24" x14ac:dyDescent="0.15">
      <c r="A83" s="25" t="s">
        <v>933</v>
      </c>
      <c r="B83" s="25" t="s">
        <v>279</v>
      </c>
      <c r="C83" s="25" t="s">
        <v>280</v>
      </c>
      <c r="D83" s="25" t="s">
        <v>281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15315</f>
        <v>15315</v>
      </c>
      <c r="L83" s="32" t="s">
        <v>904</v>
      </c>
      <c r="M83" s="31">
        <f>15850</f>
        <v>15850</v>
      </c>
      <c r="N83" s="32" t="s">
        <v>818</v>
      </c>
      <c r="O83" s="31">
        <f>14410</f>
        <v>14410</v>
      </c>
      <c r="P83" s="32" t="s">
        <v>911</v>
      </c>
      <c r="Q83" s="31">
        <f>15795</f>
        <v>15795</v>
      </c>
      <c r="R83" s="32" t="s">
        <v>818</v>
      </c>
      <c r="S83" s="33">
        <f>15133.18</f>
        <v>15133.18</v>
      </c>
      <c r="T83" s="30">
        <f>1092</f>
        <v>1092</v>
      </c>
      <c r="U83" s="30" t="str">
        <f>"－"</f>
        <v>－</v>
      </c>
      <c r="V83" s="30">
        <f>16463170</f>
        <v>16463170</v>
      </c>
      <c r="W83" s="30" t="str">
        <f>"－"</f>
        <v>－</v>
      </c>
      <c r="X83" s="34">
        <f>22</f>
        <v>22</v>
      </c>
    </row>
    <row r="84" spans="1:24" x14ac:dyDescent="0.15">
      <c r="A84" s="25" t="s">
        <v>933</v>
      </c>
      <c r="B84" s="25" t="s">
        <v>282</v>
      </c>
      <c r="C84" s="25" t="s">
        <v>283</v>
      </c>
      <c r="D84" s="25" t="s">
        <v>284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15405</f>
        <v>15405</v>
      </c>
      <c r="L84" s="32" t="s">
        <v>904</v>
      </c>
      <c r="M84" s="31">
        <f>15750</f>
        <v>15750</v>
      </c>
      <c r="N84" s="32" t="s">
        <v>934</v>
      </c>
      <c r="O84" s="31">
        <f>14075</f>
        <v>14075</v>
      </c>
      <c r="P84" s="32" t="s">
        <v>912</v>
      </c>
      <c r="Q84" s="31">
        <f>15665</f>
        <v>15665</v>
      </c>
      <c r="R84" s="32" t="s">
        <v>818</v>
      </c>
      <c r="S84" s="33">
        <f>15036.14</f>
        <v>15036.14</v>
      </c>
      <c r="T84" s="30">
        <f>946</f>
        <v>946</v>
      </c>
      <c r="U84" s="30" t="str">
        <f>"－"</f>
        <v>－</v>
      </c>
      <c r="V84" s="30">
        <f>14174265</f>
        <v>14174265</v>
      </c>
      <c r="W84" s="30" t="str">
        <f>"－"</f>
        <v>－</v>
      </c>
      <c r="X84" s="34">
        <f>22</f>
        <v>22</v>
      </c>
    </row>
    <row r="85" spans="1:24" x14ac:dyDescent="0.15">
      <c r="A85" s="25" t="s">
        <v>933</v>
      </c>
      <c r="B85" s="25" t="s">
        <v>285</v>
      </c>
      <c r="C85" s="25" t="s">
        <v>286</v>
      </c>
      <c r="D85" s="25" t="s">
        <v>287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19835</f>
        <v>19835</v>
      </c>
      <c r="L85" s="32" t="s">
        <v>904</v>
      </c>
      <c r="M85" s="31">
        <f>20280</f>
        <v>20280</v>
      </c>
      <c r="N85" s="32" t="s">
        <v>94</v>
      </c>
      <c r="O85" s="31">
        <f>18350</f>
        <v>18350</v>
      </c>
      <c r="P85" s="32" t="s">
        <v>911</v>
      </c>
      <c r="Q85" s="31">
        <f>19810</f>
        <v>19810</v>
      </c>
      <c r="R85" s="32" t="s">
        <v>818</v>
      </c>
      <c r="S85" s="33">
        <f>19504.32</f>
        <v>19504.32</v>
      </c>
      <c r="T85" s="30">
        <f>4011</f>
        <v>4011</v>
      </c>
      <c r="U85" s="30" t="str">
        <f>"－"</f>
        <v>－</v>
      </c>
      <c r="V85" s="30">
        <f>77858805</f>
        <v>77858805</v>
      </c>
      <c r="W85" s="30" t="str">
        <f>"－"</f>
        <v>－</v>
      </c>
      <c r="X85" s="34">
        <f>22</f>
        <v>22</v>
      </c>
    </row>
    <row r="86" spans="1:24" x14ac:dyDescent="0.15">
      <c r="A86" s="25" t="s">
        <v>933</v>
      </c>
      <c r="B86" s="25" t="s">
        <v>288</v>
      </c>
      <c r="C86" s="25" t="s">
        <v>289</v>
      </c>
      <c r="D86" s="25" t="s">
        <v>290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10145</f>
        <v>10145</v>
      </c>
      <c r="L86" s="32" t="s">
        <v>904</v>
      </c>
      <c r="M86" s="31">
        <f>11100</f>
        <v>11100</v>
      </c>
      <c r="N86" s="32" t="s">
        <v>94</v>
      </c>
      <c r="O86" s="31">
        <f>10015</f>
        <v>10015</v>
      </c>
      <c r="P86" s="32" t="s">
        <v>912</v>
      </c>
      <c r="Q86" s="31">
        <f>11015</f>
        <v>11015</v>
      </c>
      <c r="R86" s="32" t="s">
        <v>818</v>
      </c>
      <c r="S86" s="33">
        <f>10461.82</f>
        <v>10461.82</v>
      </c>
      <c r="T86" s="30">
        <f>11030</f>
        <v>11030</v>
      </c>
      <c r="U86" s="30" t="str">
        <f>"－"</f>
        <v>－</v>
      </c>
      <c r="V86" s="30">
        <f>115811400</f>
        <v>115811400</v>
      </c>
      <c r="W86" s="30" t="str">
        <f>"－"</f>
        <v>－</v>
      </c>
      <c r="X86" s="34">
        <f>22</f>
        <v>22</v>
      </c>
    </row>
    <row r="87" spans="1:24" x14ac:dyDescent="0.15">
      <c r="A87" s="25" t="s">
        <v>933</v>
      </c>
      <c r="B87" s="25" t="s">
        <v>291</v>
      </c>
      <c r="C87" s="25" t="s">
        <v>292</v>
      </c>
      <c r="D87" s="25" t="s">
        <v>293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2416</f>
        <v>2416</v>
      </c>
      <c r="L87" s="32" t="s">
        <v>904</v>
      </c>
      <c r="M87" s="31">
        <f>2420</f>
        <v>2420</v>
      </c>
      <c r="N87" s="32" t="s">
        <v>909</v>
      </c>
      <c r="O87" s="31">
        <f>2284</f>
        <v>2284</v>
      </c>
      <c r="P87" s="32" t="s">
        <v>94</v>
      </c>
      <c r="Q87" s="31">
        <f>2341</f>
        <v>2341</v>
      </c>
      <c r="R87" s="32" t="s">
        <v>818</v>
      </c>
      <c r="S87" s="33">
        <f>2344.86</f>
        <v>2344.86</v>
      </c>
      <c r="T87" s="30">
        <f>413841</f>
        <v>413841</v>
      </c>
      <c r="U87" s="30">
        <f>233642</f>
        <v>233642</v>
      </c>
      <c r="V87" s="30">
        <f>968366717</f>
        <v>968366717</v>
      </c>
      <c r="W87" s="30">
        <f>549261526</f>
        <v>549261526</v>
      </c>
      <c r="X87" s="34">
        <f>22</f>
        <v>22</v>
      </c>
    </row>
    <row r="88" spans="1:24" x14ac:dyDescent="0.15">
      <c r="A88" s="25" t="s">
        <v>933</v>
      </c>
      <c r="B88" s="25" t="s">
        <v>294</v>
      </c>
      <c r="C88" s="25" t="s">
        <v>295</v>
      </c>
      <c r="D88" s="25" t="s">
        <v>296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2250</f>
        <v>2250</v>
      </c>
      <c r="L88" s="32" t="s">
        <v>904</v>
      </c>
      <c r="M88" s="31">
        <f>2264</f>
        <v>2264</v>
      </c>
      <c r="N88" s="32" t="s">
        <v>811</v>
      </c>
      <c r="O88" s="31">
        <f>2163</f>
        <v>2163</v>
      </c>
      <c r="P88" s="32" t="s">
        <v>915</v>
      </c>
      <c r="Q88" s="31">
        <f>2236</f>
        <v>2236</v>
      </c>
      <c r="R88" s="32" t="s">
        <v>818</v>
      </c>
      <c r="S88" s="33">
        <f>2220.23</f>
        <v>2220.23</v>
      </c>
      <c r="T88" s="30">
        <f>135124</f>
        <v>135124</v>
      </c>
      <c r="U88" s="30">
        <f>3</f>
        <v>3</v>
      </c>
      <c r="V88" s="30">
        <f>299503802</f>
        <v>299503802</v>
      </c>
      <c r="W88" s="30">
        <f>6196</f>
        <v>6196</v>
      </c>
      <c r="X88" s="34">
        <f>22</f>
        <v>22</v>
      </c>
    </row>
    <row r="89" spans="1:24" x14ac:dyDescent="0.15">
      <c r="A89" s="25" t="s">
        <v>933</v>
      </c>
      <c r="B89" s="25" t="s">
        <v>297</v>
      </c>
      <c r="C89" s="25" t="s">
        <v>298</v>
      </c>
      <c r="D89" s="25" t="s">
        <v>299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14460</f>
        <v>14460</v>
      </c>
      <c r="L89" s="32" t="s">
        <v>904</v>
      </c>
      <c r="M89" s="31">
        <f>15225</f>
        <v>15225</v>
      </c>
      <c r="N89" s="32" t="s">
        <v>934</v>
      </c>
      <c r="O89" s="31">
        <f>13250</f>
        <v>13250</v>
      </c>
      <c r="P89" s="32" t="s">
        <v>911</v>
      </c>
      <c r="Q89" s="31">
        <f>15015</f>
        <v>15015</v>
      </c>
      <c r="R89" s="32" t="s">
        <v>818</v>
      </c>
      <c r="S89" s="33">
        <f>14295.91</f>
        <v>14295.91</v>
      </c>
      <c r="T89" s="30">
        <f>13881</f>
        <v>13881</v>
      </c>
      <c r="U89" s="30" t="str">
        <f>"－"</f>
        <v>－</v>
      </c>
      <c r="V89" s="30">
        <f>191504945</f>
        <v>191504945</v>
      </c>
      <c r="W89" s="30" t="str">
        <f>"－"</f>
        <v>－</v>
      </c>
      <c r="X89" s="34">
        <f>22</f>
        <v>22</v>
      </c>
    </row>
    <row r="90" spans="1:24" x14ac:dyDescent="0.15">
      <c r="A90" s="25" t="s">
        <v>933</v>
      </c>
      <c r="B90" s="25" t="s">
        <v>300</v>
      </c>
      <c r="C90" s="25" t="s">
        <v>301</v>
      </c>
      <c r="D90" s="25" t="s">
        <v>302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8707</f>
        <v>8707</v>
      </c>
      <c r="L90" s="32" t="s">
        <v>904</v>
      </c>
      <c r="M90" s="31">
        <f>8847</f>
        <v>8847</v>
      </c>
      <c r="N90" s="32" t="s">
        <v>904</v>
      </c>
      <c r="O90" s="31">
        <f>8570</f>
        <v>8570</v>
      </c>
      <c r="P90" s="32" t="s">
        <v>912</v>
      </c>
      <c r="Q90" s="31">
        <f>8805</f>
        <v>8805</v>
      </c>
      <c r="R90" s="32" t="s">
        <v>818</v>
      </c>
      <c r="S90" s="33">
        <f>8722.36</f>
        <v>8722.36</v>
      </c>
      <c r="T90" s="30">
        <f>1444</f>
        <v>1444</v>
      </c>
      <c r="U90" s="30" t="str">
        <f>"－"</f>
        <v>－</v>
      </c>
      <c r="V90" s="30">
        <f>12601237</f>
        <v>12601237</v>
      </c>
      <c r="W90" s="30" t="str">
        <f>"－"</f>
        <v>－</v>
      </c>
      <c r="X90" s="34">
        <f>22</f>
        <v>22</v>
      </c>
    </row>
    <row r="91" spans="1:24" x14ac:dyDescent="0.15">
      <c r="A91" s="25" t="s">
        <v>933</v>
      </c>
      <c r="B91" s="25" t="s">
        <v>303</v>
      </c>
      <c r="C91" s="25" t="s">
        <v>304</v>
      </c>
      <c r="D91" s="25" t="s">
        <v>305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6702</f>
        <v>6702</v>
      </c>
      <c r="L91" s="32" t="s">
        <v>904</v>
      </c>
      <c r="M91" s="31">
        <f>7349</f>
        <v>7349</v>
      </c>
      <c r="N91" s="32" t="s">
        <v>911</v>
      </c>
      <c r="O91" s="31">
        <f>6686</f>
        <v>6686</v>
      </c>
      <c r="P91" s="32" t="s">
        <v>904</v>
      </c>
      <c r="Q91" s="31">
        <f>7172</f>
        <v>7172</v>
      </c>
      <c r="R91" s="32" t="s">
        <v>818</v>
      </c>
      <c r="S91" s="33">
        <f>7059.68</f>
        <v>7059.68</v>
      </c>
      <c r="T91" s="30">
        <f>3868734</f>
        <v>3868734</v>
      </c>
      <c r="U91" s="30">
        <f>202500</f>
        <v>202500</v>
      </c>
      <c r="V91" s="30">
        <f>27380707314</f>
        <v>27380707314</v>
      </c>
      <c r="W91" s="30">
        <f>1446571609</f>
        <v>1446571609</v>
      </c>
      <c r="X91" s="34">
        <f>22</f>
        <v>22</v>
      </c>
    </row>
    <row r="92" spans="1:24" x14ac:dyDescent="0.15">
      <c r="A92" s="25" t="s">
        <v>933</v>
      </c>
      <c r="B92" s="25" t="s">
        <v>306</v>
      </c>
      <c r="C92" s="25" t="s">
        <v>307</v>
      </c>
      <c r="D92" s="25" t="s">
        <v>308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3605</f>
        <v>3605</v>
      </c>
      <c r="L92" s="32" t="s">
        <v>904</v>
      </c>
      <c r="M92" s="31">
        <f>4030</f>
        <v>4030</v>
      </c>
      <c r="N92" s="32" t="s">
        <v>911</v>
      </c>
      <c r="O92" s="31">
        <f>3490</f>
        <v>3490</v>
      </c>
      <c r="P92" s="32" t="s">
        <v>906</v>
      </c>
      <c r="Q92" s="31">
        <f>3625</f>
        <v>3625</v>
      </c>
      <c r="R92" s="32" t="s">
        <v>818</v>
      </c>
      <c r="S92" s="33">
        <f>3718.86</f>
        <v>3718.86</v>
      </c>
      <c r="T92" s="30">
        <f>1363252</f>
        <v>1363252</v>
      </c>
      <c r="U92" s="30">
        <f>48</f>
        <v>48</v>
      </c>
      <c r="V92" s="30">
        <f>5125895865</f>
        <v>5125895865</v>
      </c>
      <c r="W92" s="30">
        <f>179140</f>
        <v>179140</v>
      </c>
      <c r="X92" s="34">
        <f>22</f>
        <v>22</v>
      </c>
    </row>
    <row r="93" spans="1:24" x14ac:dyDescent="0.15">
      <c r="A93" s="25" t="s">
        <v>933</v>
      </c>
      <c r="B93" s="25" t="s">
        <v>309</v>
      </c>
      <c r="C93" s="25" t="s">
        <v>310</v>
      </c>
      <c r="D93" s="25" t="s">
        <v>311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8448</f>
        <v>8448</v>
      </c>
      <c r="L93" s="32" t="s">
        <v>904</v>
      </c>
      <c r="M93" s="31">
        <f>9510</f>
        <v>9510</v>
      </c>
      <c r="N93" s="32" t="s">
        <v>911</v>
      </c>
      <c r="O93" s="31">
        <f>8390</f>
        <v>8390</v>
      </c>
      <c r="P93" s="32" t="s">
        <v>904</v>
      </c>
      <c r="Q93" s="31">
        <f>9075</f>
        <v>9075</v>
      </c>
      <c r="R93" s="32" t="s">
        <v>818</v>
      </c>
      <c r="S93" s="33">
        <f>9023.64</f>
        <v>9023.64</v>
      </c>
      <c r="T93" s="30">
        <f>474293</f>
        <v>474293</v>
      </c>
      <c r="U93" s="30">
        <f>6</f>
        <v>6</v>
      </c>
      <c r="V93" s="30">
        <f>4302472465</f>
        <v>4302472465</v>
      </c>
      <c r="W93" s="30">
        <f>52893</f>
        <v>52893</v>
      </c>
      <c r="X93" s="34">
        <f>22</f>
        <v>22</v>
      </c>
    </row>
    <row r="94" spans="1:24" x14ac:dyDescent="0.15">
      <c r="A94" s="25" t="s">
        <v>933</v>
      </c>
      <c r="B94" s="25" t="s">
        <v>312</v>
      </c>
      <c r="C94" s="25" t="s">
        <v>313</v>
      </c>
      <c r="D94" s="25" t="s">
        <v>314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84910</f>
        <v>84910</v>
      </c>
      <c r="L94" s="32" t="s">
        <v>904</v>
      </c>
      <c r="M94" s="31">
        <f>120000</f>
        <v>120000</v>
      </c>
      <c r="N94" s="32" t="s">
        <v>911</v>
      </c>
      <c r="O94" s="31">
        <f>78500</f>
        <v>78500</v>
      </c>
      <c r="P94" s="32" t="s">
        <v>934</v>
      </c>
      <c r="Q94" s="31">
        <f>82920</f>
        <v>82920</v>
      </c>
      <c r="R94" s="32" t="s">
        <v>818</v>
      </c>
      <c r="S94" s="33">
        <f>92815.91</f>
        <v>92815.91</v>
      </c>
      <c r="T94" s="30">
        <f>46342</f>
        <v>46342</v>
      </c>
      <c r="U94" s="30">
        <f>65</f>
        <v>65</v>
      </c>
      <c r="V94" s="30">
        <f>4541126800</f>
        <v>4541126800</v>
      </c>
      <c r="W94" s="30">
        <f>6641710</f>
        <v>6641710</v>
      </c>
      <c r="X94" s="34">
        <f>22</f>
        <v>22</v>
      </c>
    </row>
    <row r="95" spans="1:24" x14ac:dyDescent="0.15">
      <c r="A95" s="25" t="s">
        <v>933</v>
      </c>
      <c r="B95" s="25" t="s">
        <v>315</v>
      </c>
      <c r="C95" s="25" t="s">
        <v>940</v>
      </c>
      <c r="D95" s="25" t="s">
        <v>941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16655</f>
        <v>16655</v>
      </c>
      <c r="L95" s="32" t="s">
        <v>904</v>
      </c>
      <c r="M95" s="31">
        <f>19000</f>
        <v>19000</v>
      </c>
      <c r="N95" s="32" t="s">
        <v>934</v>
      </c>
      <c r="O95" s="31">
        <f>15465</f>
        <v>15465</v>
      </c>
      <c r="P95" s="32" t="s">
        <v>912</v>
      </c>
      <c r="Q95" s="31">
        <f>18725</f>
        <v>18725</v>
      </c>
      <c r="R95" s="32" t="s">
        <v>818</v>
      </c>
      <c r="S95" s="33">
        <f>16966.59</f>
        <v>16966.59</v>
      </c>
      <c r="T95" s="30">
        <f>2846060</f>
        <v>2846060</v>
      </c>
      <c r="U95" s="30">
        <f>41943</f>
        <v>41943</v>
      </c>
      <c r="V95" s="30">
        <f>48468487765</f>
        <v>48468487765</v>
      </c>
      <c r="W95" s="30">
        <f>732221200</f>
        <v>732221200</v>
      </c>
      <c r="X95" s="34">
        <f>22</f>
        <v>22</v>
      </c>
    </row>
    <row r="96" spans="1:24" x14ac:dyDescent="0.15">
      <c r="A96" s="25" t="s">
        <v>933</v>
      </c>
      <c r="B96" s="25" t="s">
        <v>318</v>
      </c>
      <c r="C96" s="25" t="s">
        <v>942</v>
      </c>
      <c r="D96" s="25" t="s">
        <v>943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</v>
      </c>
      <c r="K96" s="31">
        <f>38300</f>
        <v>38300</v>
      </c>
      <c r="L96" s="32" t="s">
        <v>904</v>
      </c>
      <c r="M96" s="31">
        <f>42650</f>
        <v>42650</v>
      </c>
      <c r="N96" s="32" t="s">
        <v>934</v>
      </c>
      <c r="O96" s="31">
        <f>36860</f>
        <v>36860</v>
      </c>
      <c r="P96" s="32" t="s">
        <v>912</v>
      </c>
      <c r="Q96" s="31">
        <f>42180</f>
        <v>42180</v>
      </c>
      <c r="R96" s="32" t="s">
        <v>818</v>
      </c>
      <c r="S96" s="33">
        <f>39467.73</f>
        <v>39467.730000000003</v>
      </c>
      <c r="T96" s="30">
        <f>286853</f>
        <v>286853</v>
      </c>
      <c r="U96" s="30">
        <f>68637</f>
        <v>68637</v>
      </c>
      <c r="V96" s="30">
        <f>11155652475</f>
        <v>11155652475</v>
      </c>
      <c r="W96" s="30">
        <f>2560650185</f>
        <v>2560650185</v>
      </c>
      <c r="X96" s="34">
        <f>22</f>
        <v>22</v>
      </c>
    </row>
    <row r="97" spans="1:24" x14ac:dyDescent="0.15">
      <c r="A97" s="25" t="s">
        <v>933</v>
      </c>
      <c r="B97" s="25" t="s">
        <v>321</v>
      </c>
      <c r="C97" s="25" t="s">
        <v>322</v>
      </c>
      <c r="D97" s="25" t="s">
        <v>323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5473</f>
        <v>5473</v>
      </c>
      <c r="L97" s="32" t="s">
        <v>904</v>
      </c>
      <c r="M97" s="31">
        <f>6189</f>
        <v>6189</v>
      </c>
      <c r="N97" s="32" t="s">
        <v>934</v>
      </c>
      <c r="O97" s="31">
        <f>5228</f>
        <v>5228</v>
      </c>
      <c r="P97" s="32" t="s">
        <v>912</v>
      </c>
      <c r="Q97" s="31">
        <f>6110</f>
        <v>6110</v>
      </c>
      <c r="R97" s="32" t="s">
        <v>818</v>
      </c>
      <c r="S97" s="33">
        <f>5638.41</f>
        <v>5638.41</v>
      </c>
      <c r="T97" s="30">
        <f>2710980</f>
        <v>2710980</v>
      </c>
      <c r="U97" s="30">
        <f>162090</f>
        <v>162090</v>
      </c>
      <c r="V97" s="30">
        <f>15430764786</f>
        <v>15430764786</v>
      </c>
      <c r="W97" s="30">
        <f>891604686</f>
        <v>891604686</v>
      </c>
      <c r="X97" s="34">
        <f>22</f>
        <v>22</v>
      </c>
    </row>
    <row r="98" spans="1:24" x14ac:dyDescent="0.15">
      <c r="A98" s="25" t="s">
        <v>933</v>
      </c>
      <c r="B98" s="25" t="s">
        <v>324</v>
      </c>
      <c r="C98" s="25" t="s">
        <v>325</v>
      </c>
      <c r="D98" s="25" t="s">
        <v>326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3544</f>
        <v>3544</v>
      </c>
      <c r="L98" s="32" t="s">
        <v>904</v>
      </c>
      <c r="M98" s="31">
        <f>3961</f>
        <v>3961</v>
      </c>
      <c r="N98" s="32" t="s">
        <v>934</v>
      </c>
      <c r="O98" s="31">
        <f>3338</f>
        <v>3338</v>
      </c>
      <c r="P98" s="32" t="s">
        <v>912</v>
      </c>
      <c r="Q98" s="31">
        <f>3914</f>
        <v>3914</v>
      </c>
      <c r="R98" s="32" t="s">
        <v>818</v>
      </c>
      <c r="S98" s="33">
        <f>3614.09</f>
        <v>3614.09</v>
      </c>
      <c r="T98" s="30">
        <f>176210</f>
        <v>176210</v>
      </c>
      <c r="U98" s="30">
        <f>10</f>
        <v>10</v>
      </c>
      <c r="V98" s="30">
        <f>633108710</f>
        <v>633108710</v>
      </c>
      <c r="W98" s="30">
        <f>35300</f>
        <v>35300</v>
      </c>
      <c r="X98" s="34">
        <f>22</f>
        <v>22</v>
      </c>
    </row>
    <row r="99" spans="1:24" x14ac:dyDescent="0.15">
      <c r="A99" s="25" t="s">
        <v>933</v>
      </c>
      <c r="B99" s="25" t="s">
        <v>327</v>
      </c>
      <c r="C99" s="25" t="s">
        <v>328</v>
      </c>
      <c r="D99" s="25" t="s">
        <v>329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4563</f>
        <v>4563</v>
      </c>
      <c r="L99" s="32" t="s">
        <v>904</v>
      </c>
      <c r="M99" s="31">
        <f>4776</f>
        <v>4776</v>
      </c>
      <c r="N99" s="32" t="s">
        <v>818</v>
      </c>
      <c r="O99" s="31">
        <f>4186</f>
        <v>4186</v>
      </c>
      <c r="P99" s="32" t="s">
        <v>915</v>
      </c>
      <c r="Q99" s="31">
        <f>4763</f>
        <v>4763</v>
      </c>
      <c r="R99" s="32" t="s">
        <v>818</v>
      </c>
      <c r="S99" s="33">
        <f>4479.73</f>
        <v>4479.7299999999996</v>
      </c>
      <c r="T99" s="30">
        <f>13010</f>
        <v>13010</v>
      </c>
      <c r="U99" s="30" t="str">
        <f>"－"</f>
        <v>－</v>
      </c>
      <c r="V99" s="30">
        <f>58112820</f>
        <v>58112820</v>
      </c>
      <c r="W99" s="30" t="str">
        <f>"－"</f>
        <v>－</v>
      </c>
      <c r="X99" s="34">
        <f>22</f>
        <v>22</v>
      </c>
    </row>
    <row r="100" spans="1:24" x14ac:dyDescent="0.15">
      <c r="A100" s="25" t="s">
        <v>933</v>
      </c>
      <c r="B100" s="25" t="s">
        <v>330</v>
      </c>
      <c r="C100" s="25" t="s">
        <v>331</v>
      </c>
      <c r="D100" s="25" t="s">
        <v>332</v>
      </c>
      <c r="E100" s="26" t="s">
        <v>45</v>
      </c>
      <c r="F100" s="27" t="s">
        <v>45</v>
      </c>
      <c r="G100" s="28" t="s">
        <v>45</v>
      </c>
      <c r="H100" s="29" t="s">
        <v>333</v>
      </c>
      <c r="I100" s="29" t="s">
        <v>46</v>
      </c>
      <c r="J100" s="30">
        <v>1</v>
      </c>
      <c r="K100" s="31">
        <f>2213</f>
        <v>2213</v>
      </c>
      <c r="L100" s="32" t="s">
        <v>904</v>
      </c>
      <c r="M100" s="31">
        <f>2677</f>
        <v>2677</v>
      </c>
      <c r="N100" s="32" t="s">
        <v>912</v>
      </c>
      <c r="O100" s="31">
        <f>1877</f>
        <v>1877</v>
      </c>
      <c r="P100" s="32" t="s">
        <v>934</v>
      </c>
      <c r="Q100" s="31">
        <f>1890</f>
        <v>1890</v>
      </c>
      <c r="R100" s="32" t="s">
        <v>818</v>
      </c>
      <c r="S100" s="33">
        <f>2278.82</f>
        <v>2278.8200000000002</v>
      </c>
      <c r="T100" s="30">
        <f>39959906</f>
        <v>39959906</v>
      </c>
      <c r="U100" s="30">
        <f>223967</f>
        <v>223967</v>
      </c>
      <c r="V100" s="30">
        <f>94111425399</f>
        <v>94111425399</v>
      </c>
      <c r="W100" s="30">
        <f>473516234</f>
        <v>473516234</v>
      </c>
      <c r="X100" s="34">
        <f>22</f>
        <v>22</v>
      </c>
    </row>
    <row r="101" spans="1:24" x14ac:dyDescent="0.15">
      <c r="A101" s="25" t="s">
        <v>933</v>
      </c>
      <c r="B101" s="25" t="s">
        <v>334</v>
      </c>
      <c r="C101" s="25" t="s">
        <v>335</v>
      </c>
      <c r="D101" s="25" t="s">
        <v>336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3012</f>
        <v>3012</v>
      </c>
      <c r="L101" s="32" t="s">
        <v>904</v>
      </c>
      <c r="M101" s="31">
        <f>3340</f>
        <v>3340</v>
      </c>
      <c r="N101" s="32" t="s">
        <v>934</v>
      </c>
      <c r="O101" s="31">
        <f>2829</f>
        <v>2829</v>
      </c>
      <c r="P101" s="32" t="s">
        <v>912</v>
      </c>
      <c r="Q101" s="31">
        <f>3299</f>
        <v>3299</v>
      </c>
      <c r="R101" s="32" t="s">
        <v>818</v>
      </c>
      <c r="S101" s="33">
        <f>3062.7</f>
        <v>3062.7</v>
      </c>
      <c r="T101" s="30">
        <f>147060</f>
        <v>147060</v>
      </c>
      <c r="U101" s="30">
        <f>20</f>
        <v>20</v>
      </c>
      <c r="V101" s="30">
        <f>448831555</f>
        <v>448831555</v>
      </c>
      <c r="W101" s="30">
        <f>59755</f>
        <v>59755</v>
      </c>
      <c r="X101" s="34">
        <f>22</f>
        <v>22</v>
      </c>
    </row>
    <row r="102" spans="1:24" x14ac:dyDescent="0.15">
      <c r="A102" s="25" t="s">
        <v>933</v>
      </c>
      <c r="B102" s="25" t="s">
        <v>337</v>
      </c>
      <c r="C102" s="25" t="s">
        <v>338</v>
      </c>
      <c r="D102" s="25" t="s">
        <v>339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1786</f>
        <v>1786</v>
      </c>
      <c r="L102" s="32" t="s">
        <v>904</v>
      </c>
      <c r="M102" s="31">
        <f>2010</f>
        <v>2010</v>
      </c>
      <c r="N102" s="32" t="s">
        <v>934</v>
      </c>
      <c r="O102" s="31">
        <f>1717.5</f>
        <v>1717.5</v>
      </c>
      <c r="P102" s="32" t="s">
        <v>912</v>
      </c>
      <c r="Q102" s="31">
        <f>1971.5</f>
        <v>1971.5</v>
      </c>
      <c r="R102" s="32" t="s">
        <v>818</v>
      </c>
      <c r="S102" s="33">
        <f>1836.14</f>
        <v>1836.14</v>
      </c>
      <c r="T102" s="30">
        <f>143970</f>
        <v>143970</v>
      </c>
      <c r="U102" s="30">
        <f>70</f>
        <v>70</v>
      </c>
      <c r="V102" s="30">
        <f>266226995</f>
        <v>266226995</v>
      </c>
      <c r="W102" s="30">
        <f>125475</f>
        <v>125475</v>
      </c>
      <c r="X102" s="34">
        <f>22</f>
        <v>22</v>
      </c>
    </row>
    <row r="103" spans="1:24" x14ac:dyDescent="0.15">
      <c r="A103" s="25" t="s">
        <v>933</v>
      </c>
      <c r="B103" s="25" t="s">
        <v>340</v>
      </c>
      <c r="C103" s="25" t="s">
        <v>341</v>
      </c>
      <c r="D103" s="25" t="s">
        <v>342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50380</f>
        <v>50380</v>
      </c>
      <c r="L103" s="32" t="s">
        <v>904</v>
      </c>
      <c r="M103" s="31">
        <f>56750</f>
        <v>56750</v>
      </c>
      <c r="N103" s="32" t="s">
        <v>934</v>
      </c>
      <c r="O103" s="31">
        <f>48130</f>
        <v>48130</v>
      </c>
      <c r="P103" s="32" t="s">
        <v>912</v>
      </c>
      <c r="Q103" s="31">
        <f>56070</f>
        <v>56070</v>
      </c>
      <c r="R103" s="32" t="s">
        <v>818</v>
      </c>
      <c r="S103" s="33">
        <f>51811.36</f>
        <v>51811.360000000001</v>
      </c>
      <c r="T103" s="30">
        <f>155467</f>
        <v>155467</v>
      </c>
      <c r="U103" s="30" t="str">
        <f>"－"</f>
        <v>－</v>
      </c>
      <c r="V103" s="30">
        <f>8085858540</f>
        <v>8085858540</v>
      </c>
      <c r="W103" s="30" t="str">
        <f>"－"</f>
        <v>－</v>
      </c>
      <c r="X103" s="34">
        <f>22</f>
        <v>22</v>
      </c>
    </row>
    <row r="104" spans="1:24" x14ac:dyDescent="0.15">
      <c r="A104" s="25" t="s">
        <v>933</v>
      </c>
      <c r="B104" s="25" t="s">
        <v>343</v>
      </c>
      <c r="C104" s="25" t="s">
        <v>344</v>
      </c>
      <c r="D104" s="25" t="s">
        <v>345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3130</f>
        <v>3130</v>
      </c>
      <c r="L104" s="32" t="s">
        <v>904</v>
      </c>
      <c r="M104" s="31">
        <f>3355</f>
        <v>3355</v>
      </c>
      <c r="N104" s="32" t="s">
        <v>818</v>
      </c>
      <c r="O104" s="31">
        <f>3045</f>
        <v>3045</v>
      </c>
      <c r="P104" s="32" t="s">
        <v>819</v>
      </c>
      <c r="Q104" s="31">
        <f>3325</f>
        <v>3325</v>
      </c>
      <c r="R104" s="32" t="s">
        <v>818</v>
      </c>
      <c r="S104" s="33">
        <f>3213.41</f>
        <v>3213.41</v>
      </c>
      <c r="T104" s="30">
        <f>15989</f>
        <v>15989</v>
      </c>
      <c r="U104" s="30" t="str">
        <f>"－"</f>
        <v>－</v>
      </c>
      <c r="V104" s="30">
        <f>51331720</f>
        <v>51331720</v>
      </c>
      <c r="W104" s="30" t="str">
        <f>"－"</f>
        <v>－</v>
      </c>
      <c r="X104" s="34">
        <f>22</f>
        <v>22</v>
      </c>
    </row>
    <row r="105" spans="1:24" x14ac:dyDescent="0.15">
      <c r="A105" s="25" t="s">
        <v>933</v>
      </c>
      <c r="B105" s="25" t="s">
        <v>346</v>
      </c>
      <c r="C105" s="25" t="s">
        <v>347</v>
      </c>
      <c r="D105" s="25" t="s">
        <v>348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4160</f>
        <v>4160</v>
      </c>
      <c r="L105" s="32" t="s">
        <v>904</v>
      </c>
      <c r="M105" s="31">
        <f>4525</f>
        <v>4525</v>
      </c>
      <c r="N105" s="32" t="s">
        <v>934</v>
      </c>
      <c r="O105" s="31">
        <f>4055</f>
        <v>4055</v>
      </c>
      <c r="P105" s="32" t="s">
        <v>912</v>
      </c>
      <c r="Q105" s="31">
        <f>4490</f>
        <v>4490</v>
      </c>
      <c r="R105" s="32" t="s">
        <v>818</v>
      </c>
      <c r="S105" s="33">
        <f>4295.45</f>
        <v>4295.45</v>
      </c>
      <c r="T105" s="30">
        <f>7131</f>
        <v>7131</v>
      </c>
      <c r="U105" s="30" t="str">
        <f>"－"</f>
        <v>－</v>
      </c>
      <c r="V105" s="30">
        <f>30939170</f>
        <v>30939170</v>
      </c>
      <c r="W105" s="30" t="str">
        <f>"－"</f>
        <v>－</v>
      </c>
      <c r="X105" s="34">
        <f>22</f>
        <v>22</v>
      </c>
    </row>
    <row r="106" spans="1:24" x14ac:dyDescent="0.15">
      <c r="A106" s="25" t="s">
        <v>933</v>
      </c>
      <c r="B106" s="25" t="s">
        <v>349</v>
      </c>
      <c r="C106" s="25" t="s">
        <v>350</v>
      </c>
      <c r="D106" s="25" t="s">
        <v>351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2550</f>
        <v>2550</v>
      </c>
      <c r="L106" s="32" t="s">
        <v>904</v>
      </c>
      <c r="M106" s="31">
        <f>2686</f>
        <v>2686</v>
      </c>
      <c r="N106" s="32" t="s">
        <v>907</v>
      </c>
      <c r="O106" s="31">
        <f>2098</f>
        <v>2098</v>
      </c>
      <c r="P106" s="32" t="s">
        <v>915</v>
      </c>
      <c r="Q106" s="31">
        <f>2513</f>
        <v>2513</v>
      </c>
      <c r="R106" s="32" t="s">
        <v>818</v>
      </c>
      <c r="S106" s="33">
        <f>2374.23</f>
        <v>2374.23</v>
      </c>
      <c r="T106" s="30">
        <f>1577874</f>
        <v>1577874</v>
      </c>
      <c r="U106" s="30" t="str">
        <f>"－"</f>
        <v>－</v>
      </c>
      <c r="V106" s="30">
        <f>3774774673</f>
        <v>3774774673</v>
      </c>
      <c r="W106" s="30" t="str">
        <f>"－"</f>
        <v>－</v>
      </c>
      <c r="X106" s="34">
        <f>22</f>
        <v>22</v>
      </c>
    </row>
    <row r="107" spans="1:24" x14ac:dyDescent="0.15">
      <c r="A107" s="25" t="s">
        <v>933</v>
      </c>
      <c r="B107" s="25" t="s">
        <v>352</v>
      </c>
      <c r="C107" s="25" t="s">
        <v>353</v>
      </c>
      <c r="D107" s="25" t="s">
        <v>354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42610</f>
        <v>42610</v>
      </c>
      <c r="L107" s="32" t="s">
        <v>904</v>
      </c>
      <c r="M107" s="31">
        <f>43410</f>
        <v>43410</v>
      </c>
      <c r="N107" s="32" t="s">
        <v>934</v>
      </c>
      <c r="O107" s="31">
        <f>39320</f>
        <v>39320</v>
      </c>
      <c r="P107" s="32" t="s">
        <v>70</v>
      </c>
      <c r="Q107" s="31">
        <f>43250</f>
        <v>43250</v>
      </c>
      <c r="R107" s="32" t="s">
        <v>818</v>
      </c>
      <c r="S107" s="33">
        <f>41821.36</f>
        <v>41821.360000000001</v>
      </c>
      <c r="T107" s="30">
        <f>56658</f>
        <v>56658</v>
      </c>
      <c r="U107" s="30">
        <f>22010</f>
        <v>22010</v>
      </c>
      <c r="V107" s="30">
        <f>2353927370</f>
        <v>2353927370</v>
      </c>
      <c r="W107" s="30">
        <f>910074290</f>
        <v>910074290</v>
      </c>
      <c r="X107" s="34">
        <f>22</f>
        <v>22</v>
      </c>
    </row>
    <row r="108" spans="1:24" x14ac:dyDescent="0.15">
      <c r="A108" s="25" t="s">
        <v>933</v>
      </c>
      <c r="B108" s="25" t="s">
        <v>355</v>
      </c>
      <c r="C108" s="25" t="s">
        <v>356</v>
      </c>
      <c r="D108" s="25" t="s">
        <v>357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22845</f>
        <v>22845</v>
      </c>
      <c r="L108" s="32" t="s">
        <v>904</v>
      </c>
      <c r="M108" s="31">
        <f>25200</f>
        <v>25200</v>
      </c>
      <c r="N108" s="32" t="s">
        <v>934</v>
      </c>
      <c r="O108" s="31">
        <f>19300</f>
        <v>19300</v>
      </c>
      <c r="P108" s="32" t="s">
        <v>911</v>
      </c>
      <c r="Q108" s="31">
        <f>24235</f>
        <v>24235</v>
      </c>
      <c r="R108" s="32" t="s">
        <v>818</v>
      </c>
      <c r="S108" s="33">
        <f>22374.32</f>
        <v>22374.32</v>
      </c>
      <c r="T108" s="30">
        <f>3304540</f>
        <v>3304540</v>
      </c>
      <c r="U108" s="30">
        <f>240</f>
        <v>240</v>
      </c>
      <c r="V108" s="30">
        <f>73539856700</f>
        <v>73539856700</v>
      </c>
      <c r="W108" s="30">
        <f>5344000</f>
        <v>5344000</v>
      </c>
      <c r="X108" s="34">
        <f>22</f>
        <v>22</v>
      </c>
    </row>
    <row r="109" spans="1:24" x14ac:dyDescent="0.15">
      <c r="A109" s="25" t="s">
        <v>933</v>
      </c>
      <c r="B109" s="25" t="s">
        <v>358</v>
      </c>
      <c r="C109" s="25" t="s">
        <v>359</v>
      </c>
      <c r="D109" s="25" t="s">
        <v>360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2191</f>
        <v>2191</v>
      </c>
      <c r="L109" s="32" t="s">
        <v>904</v>
      </c>
      <c r="M109" s="31">
        <f>2373</f>
        <v>2373</v>
      </c>
      <c r="N109" s="32" t="s">
        <v>911</v>
      </c>
      <c r="O109" s="31">
        <f>2062</f>
        <v>2062</v>
      </c>
      <c r="P109" s="32" t="s">
        <v>934</v>
      </c>
      <c r="Q109" s="31">
        <f>2100</f>
        <v>2100</v>
      </c>
      <c r="R109" s="32" t="s">
        <v>818</v>
      </c>
      <c r="S109" s="33">
        <f>2204.11</f>
        <v>2204.11</v>
      </c>
      <c r="T109" s="30">
        <f>238240</f>
        <v>238240</v>
      </c>
      <c r="U109" s="30">
        <f>20</f>
        <v>20</v>
      </c>
      <c r="V109" s="30">
        <f>530000775</f>
        <v>530000775</v>
      </c>
      <c r="W109" s="30">
        <f>43390</f>
        <v>43390</v>
      </c>
      <c r="X109" s="34">
        <f>22</f>
        <v>22</v>
      </c>
    </row>
    <row r="110" spans="1:24" x14ac:dyDescent="0.15">
      <c r="A110" s="25" t="s">
        <v>933</v>
      </c>
      <c r="B110" s="25" t="s">
        <v>361</v>
      </c>
      <c r="C110" s="25" t="s">
        <v>362</v>
      </c>
      <c r="D110" s="25" t="s">
        <v>363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13500</f>
        <v>13500</v>
      </c>
      <c r="L110" s="32" t="s">
        <v>904</v>
      </c>
      <c r="M110" s="31">
        <f>15145</f>
        <v>15145</v>
      </c>
      <c r="N110" s="32" t="s">
        <v>934</v>
      </c>
      <c r="O110" s="31">
        <f>11370</f>
        <v>11370</v>
      </c>
      <c r="P110" s="32" t="s">
        <v>911</v>
      </c>
      <c r="Q110" s="31">
        <f>14660</f>
        <v>14660</v>
      </c>
      <c r="R110" s="32" t="s">
        <v>818</v>
      </c>
      <c r="S110" s="33">
        <f>13229.32</f>
        <v>13229.32</v>
      </c>
      <c r="T110" s="30">
        <f>273056804</f>
        <v>273056804</v>
      </c>
      <c r="U110" s="30">
        <f>560791</f>
        <v>560791</v>
      </c>
      <c r="V110" s="30">
        <f>3592457794356</f>
        <v>3592457794356</v>
      </c>
      <c r="W110" s="30">
        <f>7057998376</f>
        <v>7057998376</v>
      </c>
      <c r="X110" s="34">
        <f>22</f>
        <v>22</v>
      </c>
    </row>
    <row r="111" spans="1:24" x14ac:dyDescent="0.15">
      <c r="A111" s="25" t="s">
        <v>933</v>
      </c>
      <c r="B111" s="25" t="s">
        <v>364</v>
      </c>
      <c r="C111" s="25" t="s">
        <v>365</v>
      </c>
      <c r="D111" s="25" t="s">
        <v>366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1044</f>
        <v>1044</v>
      </c>
      <c r="L111" s="32" t="s">
        <v>904</v>
      </c>
      <c r="M111" s="31">
        <f>1132</f>
        <v>1132</v>
      </c>
      <c r="N111" s="32" t="s">
        <v>911</v>
      </c>
      <c r="O111" s="31">
        <f>972</f>
        <v>972</v>
      </c>
      <c r="P111" s="32" t="s">
        <v>934</v>
      </c>
      <c r="Q111" s="31">
        <f>988</f>
        <v>988</v>
      </c>
      <c r="R111" s="32" t="s">
        <v>818</v>
      </c>
      <c r="S111" s="33">
        <f>1049.18</f>
        <v>1049.18</v>
      </c>
      <c r="T111" s="30">
        <f>64605043</f>
        <v>64605043</v>
      </c>
      <c r="U111" s="30">
        <f>3600007</f>
        <v>3600007</v>
      </c>
      <c r="V111" s="30">
        <f>68810613790</f>
        <v>68810613790</v>
      </c>
      <c r="W111" s="30">
        <f>3910176917</f>
        <v>3910176917</v>
      </c>
      <c r="X111" s="34">
        <f>22</f>
        <v>22</v>
      </c>
    </row>
    <row r="112" spans="1:24" x14ac:dyDescent="0.15">
      <c r="A112" s="25" t="s">
        <v>933</v>
      </c>
      <c r="B112" s="25" t="s">
        <v>367</v>
      </c>
      <c r="C112" s="25" t="s">
        <v>368</v>
      </c>
      <c r="D112" s="25" t="s">
        <v>369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6542</f>
        <v>6542</v>
      </c>
      <c r="L112" s="32" t="s">
        <v>904</v>
      </c>
      <c r="M112" s="31">
        <f>6780</f>
        <v>6780</v>
      </c>
      <c r="N112" s="32" t="s">
        <v>904</v>
      </c>
      <c r="O112" s="31">
        <f>4156</f>
        <v>4156</v>
      </c>
      <c r="P112" s="32" t="s">
        <v>906</v>
      </c>
      <c r="Q112" s="31">
        <f>5830</f>
        <v>5830</v>
      </c>
      <c r="R112" s="32" t="s">
        <v>818</v>
      </c>
      <c r="S112" s="33">
        <f>5630.59</f>
        <v>5630.59</v>
      </c>
      <c r="T112" s="30">
        <f>202680</f>
        <v>202680</v>
      </c>
      <c r="U112" s="30">
        <f>30</f>
        <v>30</v>
      </c>
      <c r="V112" s="30">
        <f>1086180170</f>
        <v>1086180170</v>
      </c>
      <c r="W112" s="30">
        <f>176190</f>
        <v>176190</v>
      </c>
      <c r="X112" s="34">
        <f>22</f>
        <v>22</v>
      </c>
    </row>
    <row r="113" spans="1:24" x14ac:dyDescent="0.15">
      <c r="A113" s="25" t="s">
        <v>933</v>
      </c>
      <c r="B113" s="25" t="s">
        <v>370</v>
      </c>
      <c r="C113" s="25" t="s">
        <v>371</v>
      </c>
      <c r="D113" s="25" t="s">
        <v>372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8777</f>
        <v>8777</v>
      </c>
      <c r="L113" s="32" t="s">
        <v>904</v>
      </c>
      <c r="M113" s="31">
        <f>11590</f>
        <v>11590</v>
      </c>
      <c r="N113" s="32" t="s">
        <v>915</v>
      </c>
      <c r="O113" s="31">
        <f>8589</f>
        <v>8589</v>
      </c>
      <c r="P113" s="32" t="s">
        <v>904</v>
      </c>
      <c r="Q113" s="31">
        <f>9549</f>
        <v>9549</v>
      </c>
      <c r="R113" s="32" t="s">
        <v>818</v>
      </c>
      <c r="S113" s="33">
        <f>9677.09</f>
        <v>9677.09</v>
      </c>
      <c r="T113" s="30">
        <f>62580</f>
        <v>62580</v>
      </c>
      <c r="U113" s="30">
        <f>30</f>
        <v>30</v>
      </c>
      <c r="V113" s="30">
        <f>629611170</f>
        <v>629611170</v>
      </c>
      <c r="W113" s="30">
        <f>296940</f>
        <v>296940</v>
      </c>
      <c r="X113" s="34">
        <f>22</f>
        <v>22</v>
      </c>
    </row>
    <row r="114" spans="1:24" x14ac:dyDescent="0.15">
      <c r="A114" s="25" t="s">
        <v>933</v>
      </c>
      <c r="B114" s="25" t="s">
        <v>373</v>
      </c>
      <c r="C114" s="25" t="s">
        <v>374</v>
      </c>
      <c r="D114" s="25" t="s">
        <v>375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778</f>
        <v>778</v>
      </c>
      <c r="L114" s="32" t="s">
        <v>909</v>
      </c>
      <c r="M114" s="31">
        <f>787.4</f>
        <v>787.4</v>
      </c>
      <c r="N114" s="32" t="s">
        <v>811</v>
      </c>
      <c r="O114" s="31">
        <f>686</f>
        <v>686</v>
      </c>
      <c r="P114" s="32" t="s">
        <v>695</v>
      </c>
      <c r="Q114" s="31">
        <f>762.8</f>
        <v>762.8</v>
      </c>
      <c r="R114" s="32" t="s">
        <v>818</v>
      </c>
      <c r="S114" s="33">
        <f>730.23</f>
        <v>730.23</v>
      </c>
      <c r="T114" s="30">
        <f>22300</f>
        <v>22300</v>
      </c>
      <c r="U114" s="30" t="str">
        <f>"－"</f>
        <v>－</v>
      </c>
      <c r="V114" s="30">
        <f>16048371</f>
        <v>16048371</v>
      </c>
      <c r="W114" s="30" t="str">
        <f>"－"</f>
        <v>－</v>
      </c>
      <c r="X114" s="34">
        <f>21</f>
        <v>21</v>
      </c>
    </row>
    <row r="115" spans="1:24" x14ac:dyDescent="0.15">
      <c r="A115" s="25" t="s">
        <v>933</v>
      </c>
      <c r="B115" s="25" t="s">
        <v>376</v>
      </c>
      <c r="C115" s="25" t="s">
        <v>377</v>
      </c>
      <c r="D115" s="25" t="s">
        <v>378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23620</f>
        <v>23620</v>
      </c>
      <c r="L115" s="32" t="s">
        <v>904</v>
      </c>
      <c r="M115" s="31">
        <f>24830</f>
        <v>24830</v>
      </c>
      <c r="N115" s="32" t="s">
        <v>934</v>
      </c>
      <c r="O115" s="31">
        <f>21910</f>
        <v>21910</v>
      </c>
      <c r="P115" s="32" t="s">
        <v>912</v>
      </c>
      <c r="Q115" s="31">
        <f>24355</f>
        <v>24355</v>
      </c>
      <c r="R115" s="32" t="s">
        <v>818</v>
      </c>
      <c r="S115" s="33">
        <f>23581.82</f>
        <v>23581.82</v>
      </c>
      <c r="T115" s="30">
        <f>114814</f>
        <v>114814</v>
      </c>
      <c r="U115" s="30">
        <f>412</f>
        <v>412</v>
      </c>
      <c r="V115" s="30">
        <f>2731953720</f>
        <v>2731953720</v>
      </c>
      <c r="W115" s="30">
        <f>9630355</f>
        <v>9630355</v>
      </c>
      <c r="X115" s="34">
        <f>22</f>
        <v>22</v>
      </c>
    </row>
    <row r="116" spans="1:24" x14ac:dyDescent="0.15">
      <c r="A116" s="25" t="s">
        <v>933</v>
      </c>
      <c r="B116" s="25" t="s">
        <v>379</v>
      </c>
      <c r="C116" s="25" t="s">
        <v>380</v>
      </c>
      <c r="D116" s="25" t="s">
        <v>381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2130</f>
        <v>2130</v>
      </c>
      <c r="L116" s="32" t="s">
        <v>904</v>
      </c>
      <c r="M116" s="31">
        <f>2260</f>
        <v>2260</v>
      </c>
      <c r="N116" s="32" t="s">
        <v>934</v>
      </c>
      <c r="O116" s="31">
        <f>1961</f>
        <v>1961</v>
      </c>
      <c r="P116" s="32" t="s">
        <v>911</v>
      </c>
      <c r="Q116" s="31">
        <f>2211</f>
        <v>2211</v>
      </c>
      <c r="R116" s="32" t="s">
        <v>818</v>
      </c>
      <c r="S116" s="33">
        <f>2108.41</f>
        <v>2108.41</v>
      </c>
      <c r="T116" s="30">
        <f>59156</f>
        <v>59156</v>
      </c>
      <c r="U116" s="30" t="str">
        <f>"－"</f>
        <v>－</v>
      </c>
      <c r="V116" s="30">
        <f>122407104</f>
        <v>122407104</v>
      </c>
      <c r="W116" s="30" t="str">
        <f>"－"</f>
        <v>－</v>
      </c>
      <c r="X116" s="34">
        <f>22</f>
        <v>22</v>
      </c>
    </row>
    <row r="117" spans="1:24" x14ac:dyDescent="0.15">
      <c r="A117" s="25" t="s">
        <v>933</v>
      </c>
      <c r="B117" s="25" t="s">
        <v>382</v>
      </c>
      <c r="C117" s="25" t="s">
        <v>383</v>
      </c>
      <c r="D117" s="25" t="s">
        <v>384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14445</f>
        <v>14445</v>
      </c>
      <c r="L117" s="32" t="s">
        <v>904</v>
      </c>
      <c r="M117" s="31">
        <f>16215</f>
        <v>16215</v>
      </c>
      <c r="N117" s="32" t="s">
        <v>934</v>
      </c>
      <c r="O117" s="31">
        <f>12165</f>
        <v>12165</v>
      </c>
      <c r="P117" s="32" t="s">
        <v>911</v>
      </c>
      <c r="Q117" s="31">
        <f>15670</f>
        <v>15670</v>
      </c>
      <c r="R117" s="32" t="s">
        <v>818</v>
      </c>
      <c r="S117" s="33">
        <f>14159.55</f>
        <v>14159.55</v>
      </c>
      <c r="T117" s="30">
        <f>21824740</f>
        <v>21824740</v>
      </c>
      <c r="U117" s="30">
        <f>300</f>
        <v>300</v>
      </c>
      <c r="V117" s="30">
        <f>307565252650</f>
        <v>307565252650</v>
      </c>
      <c r="W117" s="30">
        <f>4305700</f>
        <v>4305700</v>
      </c>
      <c r="X117" s="34">
        <f>22</f>
        <v>22</v>
      </c>
    </row>
    <row r="118" spans="1:24" x14ac:dyDescent="0.15">
      <c r="A118" s="25" t="s">
        <v>933</v>
      </c>
      <c r="B118" s="25" t="s">
        <v>385</v>
      </c>
      <c r="C118" s="25" t="s">
        <v>386</v>
      </c>
      <c r="D118" s="25" t="s">
        <v>387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2776</f>
        <v>2776</v>
      </c>
      <c r="L118" s="32" t="s">
        <v>904</v>
      </c>
      <c r="M118" s="31">
        <f>3010</f>
        <v>3010</v>
      </c>
      <c r="N118" s="32" t="s">
        <v>911</v>
      </c>
      <c r="O118" s="31">
        <f>2586</f>
        <v>2586</v>
      </c>
      <c r="P118" s="32" t="s">
        <v>934</v>
      </c>
      <c r="Q118" s="31">
        <f>2627</f>
        <v>2627</v>
      </c>
      <c r="R118" s="32" t="s">
        <v>818</v>
      </c>
      <c r="S118" s="33">
        <f>2790.59</f>
        <v>2790.59</v>
      </c>
      <c r="T118" s="30">
        <f>2236640</f>
        <v>2236640</v>
      </c>
      <c r="U118" s="30">
        <f>805130</f>
        <v>805130</v>
      </c>
      <c r="V118" s="30">
        <f>6190694500</f>
        <v>6190694500</v>
      </c>
      <c r="W118" s="30">
        <f>2190222185</f>
        <v>2190222185</v>
      </c>
      <c r="X118" s="34">
        <f>22</f>
        <v>22</v>
      </c>
    </row>
    <row r="119" spans="1:24" x14ac:dyDescent="0.15">
      <c r="A119" s="25" t="s">
        <v>933</v>
      </c>
      <c r="B119" s="25" t="s">
        <v>388</v>
      </c>
      <c r="C119" s="25" t="s">
        <v>389</v>
      </c>
      <c r="D119" s="25" t="s">
        <v>390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851</f>
        <v>851</v>
      </c>
      <c r="L119" s="32" t="s">
        <v>811</v>
      </c>
      <c r="M119" s="31">
        <f>940</f>
        <v>940</v>
      </c>
      <c r="N119" s="32" t="s">
        <v>905</v>
      </c>
      <c r="O119" s="31">
        <f>821</f>
        <v>821</v>
      </c>
      <c r="P119" s="32" t="s">
        <v>811</v>
      </c>
      <c r="Q119" s="31">
        <f>922</f>
        <v>922</v>
      </c>
      <c r="R119" s="32" t="s">
        <v>818</v>
      </c>
      <c r="S119" s="33">
        <f>870.64</f>
        <v>870.64</v>
      </c>
      <c r="T119" s="30">
        <f>1190</f>
        <v>1190</v>
      </c>
      <c r="U119" s="30" t="str">
        <f>"－"</f>
        <v>－</v>
      </c>
      <c r="V119" s="30">
        <f>1033547</f>
        <v>1033547</v>
      </c>
      <c r="W119" s="30" t="str">
        <f>"－"</f>
        <v>－</v>
      </c>
      <c r="X119" s="34">
        <f>10</f>
        <v>10</v>
      </c>
    </row>
    <row r="120" spans="1:24" x14ac:dyDescent="0.15">
      <c r="A120" s="25" t="s">
        <v>933</v>
      </c>
      <c r="B120" s="25" t="s">
        <v>391</v>
      </c>
      <c r="C120" s="25" t="s">
        <v>392</v>
      </c>
      <c r="D120" s="25" t="s">
        <v>393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1456</f>
        <v>1456</v>
      </c>
      <c r="L120" s="32" t="s">
        <v>811</v>
      </c>
      <c r="M120" s="31">
        <f>1543</f>
        <v>1543</v>
      </c>
      <c r="N120" s="32" t="s">
        <v>820</v>
      </c>
      <c r="O120" s="31">
        <f>1382</f>
        <v>1382</v>
      </c>
      <c r="P120" s="32" t="s">
        <v>912</v>
      </c>
      <c r="Q120" s="31">
        <f>1543</f>
        <v>1543</v>
      </c>
      <c r="R120" s="32" t="s">
        <v>820</v>
      </c>
      <c r="S120" s="33">
        <f>1464.89</f>
        <v>1464.89</v>
      </c>
      <c r="T120" s="30">
        <f>260</f>
        <v>260</v>
      </c>
      <c r="U120" s="30" t="str">
        <f>"－"</f>
        <v>－</v>
      </c>
      <c r="V120" s="30">
        <f>384700</f>
        <v>384700</v>
      </c>
      <c r="W120" s="30" t="str">
        <f>"－"</f>
        <v>－</v>
      </c>
      <c r="X120" s="34">
        <f>9</f>
        <v>9</v>
      </c>
    </row>
    <row r="121" spans="1:24" x14ac:dyDescent="0.15">
      <c r="A121" s="25" t="s">
        <v>933</v>
      </c>
      <c r="B121" s="25" t="s">
        <v>394</v>
      </c>
      <c r="C121" s="25" t="s">
        <v>395</v>
      </c>
      <c r="D121" s="25" t="s">
        <v>396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1640</f>
        <v>1640</v>
      </c>
      <c r="L121" s="32" t="s">
        <v>904</v>
      </c>
      <c r="M121" s="31">
        <f>1710</f>
        <v>1710</v>
      </c>
      <c r="N121" s="32" t="s">
        <v>934</v>
      </c>
      <c r="O121" s="31">
        <f>1507</f>
        <v>1507</v>
      </c>
      <c r="P121" s="32" t="s">
        <v>911</v>
      </c>
      <c r="Q121" s="31">
        <f>1705</f>
        <v>1705</v>
      </c>
      <c r="R121" s="32" t="s">
        <v>818</v>
      </c>
      <c r="S121" s="33">
        <f>1610.09</f>
        <v>1610.09</v>
      </c>
      <c r="T121" s="30">
        <f>8068</f>
        <v>8068</v>
      </c>
      <c r="U121" s="30" t="str">
        <f>"－"</f>
        <v>－</v>
      </c>
      <c r="V121" s="30">
        <f>12809371</f>
        <v>12809371</v>
      </c>
      <c r="W121" s="30" t="str">
        <f>"－"</f>
        <v>－</v>
      </c>
      <c r="X121" s="34">
        <f>22</f>
        <v>22</v>
      </c>
    </row>
    <row r="122" spans="1:24" x14ac:dyDescent="0.15">
      <c r="A122" s="25" t="s">
        <v>933</v>
      </c>
      <c r="B122" s="25" t="s">
        <v>397</v>
      </c>
      <c r="C122" s="25" t="s">
        <v>398</v>
      </c>
      <c r="D122" s="25" t="s">
        <v>399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17245</f>
        <v>17245</v>
      </c>
      <c r="L122" s="32" t="s">
        <v>904</v>
      </c>
      <c r="M122" s="31">
        <f>18215</f>
        <v>18215</v>
      </c>
      <c r="N122" s="32" t="s">
        <v>815</v>
      </c>
      <c r="O122" s="31">
        <f>15895</f>
        <v>15895</v>
      </c>
      <c r="P122" s="32" t="s">
        <v>911</v>
      </c>
      <c r="Q122" s="31">
        <f>17830</f>
        <v>17830</v>
      </c>
      <c r="R122" s="32" t="s">
        <v>818</v>
      </c>
      <c r="S122" s="33">
        <f>17063.64</f>
        <v>17063.64</v>
      </c>
      <c r="T122" s="30">
        <f>133373</f>
        <v>133373</v>
      </c>
      <c r="U122" s="30">
        <f>2</f>
        <v>2</v>
      </c>
      <c r="V122" s="30">
        <f>2306486310</f>
        <v>2306486310</v>
      </c>
      <c r="W122" s="30">
        <f>31975</f>
        <v>31975</v>
      </c>
      <c r="X122" s="34">
        <f>22</f>
        <v>22</v>
      </c>
    </row>
    <row r="123" spans="1:24" x14ac:dyDescent="0.15">
      <c r="A123" s="25" t="s">
        <v>933</v>
      </c>
      <c r="B123" s="25" t="s">
        <v>400</v>
      </c>
      <c r="C123" s="25" t="s">
        <v>401</v>
      </c>
      <c r="D123" s="25" t="s">
        <v>402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1570</f>
        <v>1570</v>
      </c>
      <c r="L123" s="32" t="s">
        <v>904</v>
      </c>
      <c r="M123" s="31">
        <f>1652</f>
        <v>1652</v>
      </c>
      <c r="N123" s="32" t="s">
        <v>818</v>
      </c>
      <c r="O123" s="31">
        <f>1460</f>
        <v>1460</v>
      </c>
      <c r="P123" s="32" t="s">
        <v>912</v>
      </c>
      <c r="Q123" s="31">
        <f>1628</f>
        <v>1628</v>
      </c>
      <c r="R123" s="32" t="s">
        <v>818</v>
      </c>
      <c r="S123" s="33">
        <f>1560.18</f>
        <v>1560.18</v>
      </c>
      <c r="T123" s="30">
        <f>167493</f>
        <v>167493</v>
      </c>
      <c r="U123" s="30" t="str">
        <f>"－"</f>
        <v>－</v>
      </c>
      <c r="V123" s="30">
        <f>258326150</f>
        <v>258326150</v>
      </c>
      <c r="W123" s="30" t="str">
        <f>"－"</f>
        <v>－</v>
      </c>
      <c r="X123" s="34">
        <f>22</f>
        <v>22</v>
      </c>
    </row>
    <row r="124" spans="1:24" x14ac:dyDescent="0.15">
      <c r="A124" s="25" t="s">
        <v>933</v>
      </c>
      <c r="B124" s="25" t="s">
        <v>403</v>
      </c>
      <c r="C124" s="25" t="s">
        <v>404</v>
      </c>
      <c r="D124" s="25" t="s">
        <v>405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17560</f>
        <v>17560</v>
      </c>
      <c r="L124" s="32" t="s">
        <v>904</v>
      </c>
      <c r="M124" s="31">
        <f>18500</f>
        <v>18500</v>
      </c>
      <c r="N124" s="32" t="s">
        <v>934</v>
      </c>
      <c r="O124" s="31">
        <f>16200</f>
        <v>16200</v>
      </c>
      <c r="P124" s="32" t="s">
        <v>911</v>
      </c>
      <c r="Q124" s="31">
        <f>18360</f>
        <v>18360</v>
      </c>
      <c r="R124" s="32" t="s">
        <v>818</v>
      </c>
      <c r="S124" s="33">
        <f>17418.64</f>
        <v>17418.64</v>
      </c>
      <c r="T124" s="30">
        <f>33506</f>
        <v>33506</v>
      </c>
      <c r="U124" s="30">
        <f>1</f>
        <v>1</v>
      </c>
      <c r="V124" s="30">
        <f>579799050</f>
        <v>579799050</v>
      </c>
      <c r="W124" s="30">
        <f>16880</f>
        <v>16880</v>
      </c>
      <c r="X124" s="34">
        <f>22</f>
        <v>22</v>
      </c>
    </row>
    <row r="125" spans="1:24" x14ac:dyDescent="0.15">
      <c r="A125" s="25" t="s">
        <v>933</v>
      </c>
      <c r="B125" s="25" t="s">
        <v>406</v>
      </c>
      <c r="C125" s="25" t="s">
        <v>407</v>
      </c>
      <c r="D125" s="25" t="s">
        <v>408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1928</f>
        <v>1928</v>
      </c>
      <c r="L125" s="32" t="s">
        <v>904</v>
      </c>
      <c r="M125" s="31">
        <f>2095.5</f>
        <v>2095.5</v>
      </c>
      <c r="N125" s="32" t="s">
        <v>934</v>
      </c>
      <c r="O125" s="31">
        <f>1889.5</f>
        <v>1889.5</v>
      </c>
      <c r="P125" s="32" t="s">
        <v>911</v>
      </c>
      <c r="Q125" s="31">
        <f>2062</f>
        <v>2062</v>
      </c>
      <c r="R125" s="32" t="s">
        <v>818</v>
      </c>
      <c r="S125" s="33">
        <f>1968.05</f>
        <v>1968.05</v>
      </c>
      <c r="T125" s="30">
        <f>1120730</f>
        <v>1120730</v>
      </c>
      <c r="U125" s="30">
        <f>205010</f>
        <v>205010</v>
      </c>
      <c r="V125" s="30">
        <f>2227431290</f>
        <v>2227431290</v>
      </c>
      <c r="W125" s="30">
        <f>410509620</f>
        <v>410509620</v>
      </c>
      <c r="X125" s="34">
        <f>22</f>
        <v>22</v>
      </c>
    </row>
    <row r="126" spans="1:24" x14ac:dyDescent="0.15">
      <c r="A126" s="25" t="s">
        <v>933</v>
      </c>
      <c r="B126" s="25" t="s">
        <v>409</v>
      </c>
      <c r="C126" s="25" t="s">
        <v>410</v>
      </c>
      <c r="D126" s="25" t="s">
        <v>411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1645</f>
        <v>1645</v>
      </c>
      <c r="L126" s="32" t="s">
        <v>904</v>
      </c>
      <c r="M126" s="31">
        <f>1723</f>
        <v>1723</v>
      </c>
      <c r="N126" s="32" t="s">
        <v>934</v>
      </c>
      <c r="O126" s="31">
        <f>1534</f>
        <v>1534</v>
      </c>
      <c r="P126" s="32" t="s">
        <v>912</v>
      </c>
      <c r="Q126" s="31">
        <f>1723</f>
        <v>1723</v>
      </c>
      <c r="R126" s="32" t="s">
        <v>934</v>
      </c>
      <c r="S126" s="33">
        <f>1620.92</f>
        <v>1620.92</v>
      </c>
      <c r="T126" s="30">
        <f>750</f>
        <v>750</v>
      </c>
      <c r="U126" s="30" t="str">
        <f>"－"</f>
        <v>－</v>
      </c>
      <c r="V126" s="30">
        <f>1223990</f>
        <v>1223990</v>
      </c>
      <c r="W126" s="30" t="str">
        <f>"－"</f>
        <v>－</v>
      </c>
      <c r="X126" s="34">
        <f>13</f>
        <v>13</v>
      </c>
    </row>
    <row r="127" spans="1:24" x14ac:dyDescent="0.15">
      <c r="A127" s="25" t="s">
        <v>933</v>
      </c>
      <c r="B127" s="25" t="s">
        <v>412</v>
      </c>
      <c r="C127" s="25" t="s">
        <v>413</v>
      </c>
      <c r="D127" s="25" t="s">
        <v>414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</v>
      </c>
      <c r="K127" s="31">
        <f>1940</f>
        <v>1940</v>
      </c>
      <c r="L127" s="32" t="s">
        <v>904</v>
      </c>
      <c r="M127" s="31">
        <f>2096</f>
        <v>2096</v>
      </c>
      <c r="N127" s="32" t="s">
        <v>934</v>
      </c>
      <c r="O127" s="31">
        <f>1885</f>
        <v>1885</v>
      </c>
      <c r="P127" s="32" t="s">
        <v>911</v>
      </c>
      <c r="Q127" s="31">
        <f>2053.5</f>
        <v>2053.5</v>
      </c>
      <c r="R127" s="32" t="s">
        <v>818</v>
      </c>
      <c r="S127" s="33">
        <f>1967.57</f>
        <v>1967.57</v>
      </c>
      <c r="T127" s="30">
        <f>847150</f>
        <v>847150</v>
      </c>
      <c r="U127" s="30">
        <f>90</f>
        <v>90</v>
      </c>
      <c r="V127" s="30">
        <f>1660271360</f>
        <v>1660271360</v>
      </c>
      <c r="W127" s="30">
        <f>172590</f>
        <v>172590</v>
      </c>
      <c r="X127" s="34">
        <f>22</f>
        <v>22</v>
      </c>
    </row>
    <row r="128" spans="1:24" x14ac:dyDescent="0.15">
      <c r="A128" s="25" t="s">
        <v>933</v>
      </c>
      <c r="B128" s="25" t="s">
        <v>415</v>
      </c>
      <c r="C128" s="25" t="s">
        <v>416</v>
      </c>
      <c r="D128" s="25" t="s">
        <v>417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17370</f>
        <v>17370</v>
      </c>
      <c r="L128" s="32" t="s">
        <v>904</v>
      </c>
      <c r="M128" s="31">
        <f>18180</f>
        <v>18180</v>
      </c>
      <c r="N128" s="32" t="s">
        <v>815</v>
      </c>
      <c r="O128" s="31">
        <f>16025</f>
        <v>16025</v>
      </c>
      <c r="P128" s="32" t="s">
        <v>912</v>
      </c>
      <c r="Q128" s="31">
        <f>18000</f>
        <v>18000</v>
      </c>
      <c r="R128" s="32" t="s">
        <v>818</v>
      </c>
      <c r="S128" s="33">
        <f>17063.68</f>
        <v>17063.68</v>
      </c>
      <c r="T128" s="30">
        <f>557</f>
        <v>557</v>
      </c>
      <c r="U128" s="30">
        <f>4</f>
        <v>4</v>
      </c>
      <c r="V128" s="30">
        <f>9570270</f>
        <v>9570270</v>
      </c>
      <c r="W128" s="30">
        <f>68675</f>
        <v>68675</v>
      </c>
      <c r="X128" s="34">
        <f>19</f>
        <v>19</v>
      </c>
    </row>
    <row r="129" spans="1:24" x14ac:dyDescent="0.15">
      <c r="A129" s="25" t="s">
        <v>933</v>
      </c>
      <c r="B129" s="25" t="s">
        <v>418</v>
      </c>
      <c r="C129" s="25" t="s">
        <v>419</v>
      </c>
      <c r="D129" s="25" t="s">
        <v>420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100</v>
      </c>
      <c r="K129" s="31">
        <f>164.8</f>
        <v>164.8</v>
      </c>
      <c r="L129" s="32" t="s">
        <v>904</v>
      </c>
      <c r="M129" s="31">
        <f>178.2</f>
        <v>178.2</v>
      </c>
      <c r="N129" s="32" t="s">
        <v>935</v>
      </c>
      <c r="O129" s="31">
        <f>150.7</f>
        <v>150.69999999999999</v>
      </c>
      <c r="P129" s="32" t="s">
        <v>911</v>
      </c>
      <c r="Q129" s="31">
        <f>169</f>
        <v>169</v>
      </c>
      <c r="R129" s="32" t="s">
        <v>818</v>
      </c>
      <c r="S129" s="33">
        <f>165.65</f>
        <v>165.65</v>
      </c>
      <c r="T129" s="30">
        <f>48737100</f>
        <v>48737100</v>
      </c>
      <c r="U129" s="30">
        <f>603000</f>
        <v>603000</v>
      </c>
      <c r="V129" s="30">
        <f>8051528500</f>
        <v>8051528500</v>
      </c>
      <c r="W129" s="30">
        <f>93118900</f>
        <v>93118900</v>
      </c>
      <c r="X129" s="34">
        <f>22</f>
        <v>22</v>
      </c>
    </row>
    <row r="130" spans="1:24" x14ac:dyDescent="0.15">
      <c r="A130" s="25" t="s">
        <v>933</v>
      </c>
      <c r="B130" s="25" t="s">
        <v>421</v>
      </c>
      <c r="C130" s="25" t="s">
        <v>422</v>
      </c>
      <c r="D130" s="25" t="s">
        <v>423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28000</f>
        <v>28000</v>
      </c>
      <c r="L130" s="32" t="s">
        <v>904</v>
      </c>
      <c r="M130" s="31">
        <f>28100</f>
        <v>28100</v>
      </c>
      <c r="N130" s="32" t="s">
        <v>909</v>
      </c>
      <c r="O130" s="31">
        <f>26075</f>
        <v>26075</v>
      </c>
      <c r="P130" s="32" t="s">
        <v>911</v>
      </c>
      <c r="Q130" s="31">
        <f>27265</f>
        <v>27265</v>
      </c>
      <c r="R130" s="32" t="s">
        <v>818</v>
      </c>
      <c r="S130" s="33">
        <f>27240.68</f>
        <v>27240.68</v>
      </c>
      <c r="T130" s="30">
        <f>3151</f>
        <v>3151</v>
      </c>
      <c r="U130" s="30" t="str">
        <f>"－"</f>
        <v>－</v>
      </c>
      <c r="V130" s="30">
        <f>85802260</f>
        <v>85802260</v>
      </c>
      <c r="W130" s="30" t="str">
        <f>"－"</f>
        <v>－</v>
      </c>
      <c r="X130" s="34">
        <f>22</f>
        <v>22</v>
      </c>
    </row>
    <row r="131" spans="1:24" x14ac:dyDescent="0.15">
      <c r="A131" s="25" t="s">
        <v>933</v>
      </c>
      <c r="B131" s="25" t="s">
        <v>424</v>
      </c>
      <c r="C131" s="25" t="s">
        <v>425</v>
      </c>
      <c r="D131" s="25" t="s">
        <v>426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11930</f>
        <v>11930</v>
      </c>
      <c r="L131" s="32" t="s">
        <v>904</v>
      </c>
      <c r="M131" s="31">
        <f>13770</f>
        <v>13770</v>
      </c>
      <c r="N131" s="32" t="s">
        <v>94</v>
      </c>
      <c r="O131" s="31">
        <f>11690</f>
        <v>11690</v>
      </c>
      <c r="P131" s="32" t="s">
        <v>905</v>
      </c>
      <c r="Q131" s="31">
        <f>13065</f>
        <v>13065</v>
      </c>
      <c r="R131" s="32" t="s">
        <v>818</v>
      </c>
      <c r="S131" s="33">
        <f>12806.59</f>
        <v>12806.59</v>
      </c>
      <c r="T131" s="30">
        <f>44834</f>
        <v>44834</v>
      </c>
      <c r="U131" s="30">
        <f>5</f>
        <v>5</v>
      </c>
      <c r="V131" s="30">
        <f>573779250</f>
        <v>573779250</v>
      </c>
      <c r="W131" s="30">
        <f>67885</f>
        <v>67885</v>
      </c>
      <c r="X131" s="34">
        <f>22</f>
        <v>22</v>
      </c>
    </row>
    <row r="132" spans="1:24" x14ac:dyDescent="0.15">
      <c r="A132" s="25" t="s">
        <v>933</v>
      </c>
      <c r="B132" s="25" t="s">
        <v>427</v>
      </c>
      <c r="C132" s="25" t="s">
        <v>428</v>
      </c>
      <c r="D132" s="25" t="s">
        <v>429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21475</f>
        <v>21475</v>
      </c>
      <c r="L132" s="32" t="s">
        <v>904</v>
      </c>
      <c r="M132" s="31">
        <f>22100</f>
        <v>22100</v>
      </c>
      <c r="N132" s="32" t="s">
        <v>908</v>
      </c>
      <c r="O132" s="31">
        <f>19715</f>
        <v>19715</v>
      </c>
      <c r="P132" s="32" t="s">
        <v>911</v>
      </c>
      <c r="Q132" s="31">
        <f>21370</f>
        <v>21370</v>
      </c>
      <c r="R132" s="32" t="s">
        <v>818</v>
      </c>
      <c r="S132" s="33">
        <f>20964.52</f>
        <v>20964.52</v>
      </c>
      <c r="T132" s="30">
        <f>908</f>
        <v>908</v>
      </c>
      <c r="U132" s="30" t="str">
        <f>"－"</f>
        <v>－</v>
      </c>
      <c r="V132" s="30">
        <f>18935745</f>
        <v>18935745</v>
      </c>
      <c r="W132" s="30" t="str">
        <f>"－"</f>
        <v>－</v>
      </c>
      <c r="X132" s="34">
        <f>21</f>
        <v>21</v>
      </c>
    </row>
    <row r="133" spans="1:24" x14ac:dyDescent="0.15">
      <c r="A133" s="25" t="s">
        <v>933</v>
      </c>
      <c r="B133" s="25" t="s">
        <v>430</v>
      </c>
      <c r="C133" s="25" t="s">
        <v>431</v>
      </c>
      <c r="D133" s="25" t="s">
        <v>432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25335</f>
        <v>25335</v>
      </c>
      <c r="L133" s="32" t="s">
        <v>904</v>
      </c>
      <c r="M133" s="31">
        <f>25875</f>
        <v>25875</v>
      </c>
      <c r="N133" s="32" t="s">
        <v>934</v>
      </c>
      <c r="O133" s="31">
        <f>22500</f>
        <v>22500</v>
      </c>
      <c r="P133" s="32" t="s">
        <v>911</v>
      </c>
      <c r="Q133" s="31">
        <f>25345</f>
        <v>25345</v>
      </c>
      <c r="R133" s="32" t="s">
        <v>818</v>
      </c>
      <c r="S133" s="33">
        <f>24403.18</f>
        <v>24403.18</v>
      </c>
      <c r="T133" s="30">
        <f>2744</f>
        <v>2744</v>
      </c>
      <c r="U133" s="30" t="str">
        <f>"－"</f>
        <v>－</v>
      </c>
      <c r="V133" s="30">
        <f>66422610</f>
        <v>66422610</v>
      </c>
      <c r="W133" s="30" t="str">
        <f>"－"</f>
        <v>－</v>
      </c>
      <c r="X133" s="34">
        <f>22</f>
        <v>22</v>
      </c>
    </row>
    <row r="134" spans="1:24" x14ac:dyDescent="0.15">
      <c r="A134" s="25" t="s">
        <v>933</v>
      </c>
      <c r="B134" s="25" t="s">
        <v>433</v>
      </c>
      <c r="C134" s="25" t="s">
        <v>434</v>
      </c>
      <c r="D134" s="25" t="s">
        <v>435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22355</f>
        <v>22355</v>
      </c>
      <c r="L134" s="32" t="s">
        <v>904</v>
      </c>
      <c r="M134" s="31">
        <f>23200</f>
        <v>23200</v>
      </c>
      <c r="N134" s="32" t="s">
        <v>934</v>
      </c>
      <c r="O134" s="31">
        <f>20870</f>
        <v>20870</v>
      </c>
      <c r="P134" s="32" t="s">
        <v>911</v>
      </c>
      <c r="Q134" s="31">
        <f>22830</f>
        <v>22830</v>
      </c>
      <c r="R134" s="32" t="s">
        <v>818</v>
      </c>
      <c r="S134" s="33">
        <f>22060.68</f>
        <v>22060.68</v>
      </c>
      <c r="T134" s="30">
        <f>3274</f>
        <v>3274</v>
      </c>
      <c r="U134" s="30">
        <f>1</f>
        <v>1</v>
      </c>
      <c r="V134" s="30">
        <f>73767720</f>
        <v>73767720</v>
      </c>
      <c r="W134" s="30">
        <f>21960</f>
        <v>21960</v>
      </c>
      <c r="X134" s="34">
        <f>22</f>
        <v>22</v>
      </c>
    </row>
    <row r="135" spans="1:24" x14ac:dyDescent="0.15">
      <c r="A135" s="25" t="s">
        <v>933</v>
      </c>
      <c r="B135" s="25" t="s">
        <v>436</v>
      </c>
      <c r="C135" s="25" t="s">
        <v>437</v>
      </c>
      <c r="D135" s="25" t="s">
        <v>438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23970</f>
        <v>23970</v>
      </c>
      <c r="L135" s="32" t="s">
        <v>904</v>
      </c>
      <c r="M135" s="31">
        <f>24870</f>
        <v>24870</v>
      </c>
      <c r="N135" s="32" t="s">
        <v>934</v>
      </c>
      <c r="O135" s="31">
        <f>20340</f>
        <v>20340</v>
      </c>
      <c r="P135" s="32" t="s">
        <v>912</v>
      </c>
      <c r="Q135" s="31">
        <f>24575</f>
        <v>24575</v>
      </c>
      <c r="R135" s="32" t="s">
        <v>818</v>
      </c>
      <c r="S135" s="33">
        <f>22770.91</f>
        <v>22770.91</v>
      </c>
      <c r="T135" s="30">
        <f>6326</f>
        <v>6326</v>
      </c>
      <c r="U135" s="30">
        <f>3</f>
        <v>3</v>
      </c>
      <c r="V135" s="30">
        <f>142991195</f>
        <v>142991195</v>
      </c>
      <c r="W135" s="30">
        <f>69710</f>
        <v>69710</v>
      </c>
      <c r="X135" s="34">
        <f>22</f>
        <v>22</v>
      </c>
    </row>
    <row r="136" spans="1:24" x14ac:dyDescent="0.15">
      <c r="A136" s="25" t="s">
        <v>933</v>
      </c>
      <c r="B136" s="25" t="s">
        <v>439</v>
      </c>
      <c r="C136" s="25" t="s">
        <v>440</v>
      </c>
      <c r="D136" s="25" t="s">
        <v>441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17580</f>
        <v>17580</v>
      </c>
      <c r="L136" s="32" t="s">
        <v>904</v>
      </c>
      <c r="M136" s="31">
        <f>18690</f>
        <v>18690</v>
      </c>
      <c r="N136" s="32" t="s">
        <v>818</v>
      </c>
      <c r="O136" s="31">
        <f>16390</f>
        <v>16390</v>
      </c>
      <c r="P136" s="32" t="s">
        <v>912</v>
      </c>
      <c r="Q136" s="31">
        <f>18140</f>
        <v>18140</v>
      </c>
      <c r="R136" s="32" t="s">
        <v>818</v>
      </c>
      <c r="S136" s="33">
        <f>17547.5</f>
        <v>17547.5</v>
      </c>
      <c r="T136" s="30">
        <f>7768</f>
        <v>7768</v>
      </c>
      <c r="U136" s="30">
        <f>1</f>
        <v>1</v>
      </c>
      <c r="V136" s="30">
        <f>137091445</f>
        <v>137091445</v>
      </c>
      <c r="W136" s="30">
        <f>18405</f>
        <v>18405</v>
      </c>
      <c r="X136" s="34">
        <f>22</f>
        <v>22</v>
      </c>
    </row>
    <row r="137" spans="1:24" x14ac:dyDescent="0.15">
      <c r="A137" s="25" t="s">
        <v>933</v>
      </c>
      <c r="B137" s="25" t="s">
        <v>442</v>
      </c>
      <c r="C137" s="25" t="s">
        <v>443</v>
      </c>
      <c r="D137" s="25" t="s">
        <v>444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37730</f>
        <v>37730</v>
      </c>
      <c r="L137" s="32" t="s">
        <v>904</v>
      </c>
      <c r="M137" s="31">
        <f>40370</f>
        <v>40370</v>
      </c>
      <c r="N137" s="32" t="s">
        <v>815</v>
      </c>
      <c r="O137" s="31">
        <f>34470</f>
        <v>34470</v>
      </c>
      <c r="P137" s="32" t="s">
        <v>912</v>
      </c>
      <c r="Q137" s="31">
        <f>39600</f>
        <v>39600</v>
      </c>
      <c r="R137" s="32" t="s">
        <v>818</v>
      </c>
      <c r="S137" s="33">
        <f>37527.27</f>
        <v>37527.269999999997</v>
      </c>
      <c r="T137" s="30">
        <f>3608</f>
        <v>3608</v>
      </c>
      <c r="U137" s="30">
        <f>656</f>
        <v>656</v>
      </c>
      <c r="V137" s="30">
        <f>140060310</f>
        <v>140060310</v>
      </c>
      <c r="W137" s="30">
        <f>25649600</f>
        <v>25649600</v>
      </c>
      <c r="X137" s="34">
        <f>22</f>
        <v>22</v>
      </c>
    </row>
    <row r="138" spans="1:24" x14ac:dyDescent="0.15">
      <c r="A138" s="25" t="s">
        <v>933</v>
      </c>
      <c r="B138" s="25" t="s">
        <v>445</v>
      </c>
      <c r="C138" s="25" t="s">
        <v>446</v>
      </c>
      <c r="D138" s="25" t="s">
        <v>447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27490</f>
        <v>27490</v>
      </c>
      <c r="L138" s="32" t="s">
        <v>904</v>
      </c>
      <c r="M138" s="31">
        <f>29055</f>
        <v>29055</v>
      </c>
      <c r="N138" s="32" t="s">
        <v>934</v>
      </c>
      <c r="O138" s="31">
        <f>24645</f>
        <v>24645</v>
      </c>
      <c r="P138" s="32" t="s">
        <v>912</v>
      </c>
      <c r="Q138" s="31">
        <f>28630</f>
        <v>28630</v>
      </c>
      <c r="R138" s="32" t="s">
        <v>818</v>
      </c>
      <c r="S138" s="33">
        <f>27041.59</f>
        <v>27041.59</v>
      </c>
      <c r="T138" s="30">
        <f>4874</f>
        <v>4874</v>
      </c>
      <c r="U138" s="30" t="str">
        <f>"－"</f>
        <v>－</v>
      </c>
      <c r="V138" s="30">
        <f>131636765</f>
        <v>131636765</v>
      </c>
      <c r="W138" s="30" t="str">
        <f>"－"</f>
        <v>－</v>
      </c>
      <c r="X138" s="34">
        <f>22</f>
        <v>22</v>
      </c>
    </row>
    <row r="139" spans="1:24" x14ac:dyDescent="0.15">
      <c r="A139" s="25" t="s">
        <v>933</v>
      </c>
      <c r="B139" s="25" t="s">
        <v>448</v>
      </c>
      <c r="C139" s="25" t="s">
        <v>449</v>
      </c>
      <c r="D139" s="25" t="s">
        <v>450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27850</f>
        <v>27850</v>
      </c>
      <c r="L139" s="32" t="s">
        <v>904</v>
      </c>
      <c r="M139" s="31">
        <f>29675</f>
        <v>29675</v>
      </c>
      <c r="N139" s="32" t="s">
        <v>934</v>
      </c>
      <c r="O139" s="31">
        <f>26160</f>
        <v>26160</v>
      </c>
      <c r="P139" s="32" t="s">
        <v>912</v>
      </c>
      <c r="Q139" s="31">
        <f>29120</f>
        <v>29120</v>
      </c>
      <c r="R139" s="32" t="s">
        <v>818</v>
      </c>
      <c r="S139" s="33">
        <f>27918.41</f>
        <v>27918.41</v>
      </c>
      <c r="T139" s="30">
        <f>3097</f>
        <v>3097</v>
      </c>
      <c r="U139" s="30" t="str">
        <f>"－"</f>
        <v>－</v>
      </c>
      <c r="V139" s="30">
        <f>86430205</f>
        <v>86430205</v>
      </c>
      <c r="W139" s="30" t="str">
        <f>"－"</f>
        <v>－</v>
      </c>
      <c r="X139" s="34">
        <f>22</f>
        <v>22</v>
      </c>
    </row>
    <row r="140" spans="1:24" x14ac:dyDescent="0.15">
      <c r="A140" s="25" t="s">
        <v>933</v>
      </c>
      <c r="B140" s="25" t="s">
        <v>451</v>
      </c>
      <c r="C140" s="25" t="s">
        <v>452</v>
      </c>
      <c r="D140" s="25" t="s">
        <v>453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5790</f>
        <v>5790</v>
      </c>
      <c r="L140" s="32" t="s">
        <v>904</v>
      </c>
      <c r="M140" s="31">
        <f>5932</f>
        <v>5932</v>
      </c>
      <c r="N140" s="32" t="s">
        <v>936</v>
      </c>
      <c r="O140" s="31">
        <f>5492</f>
        <v>5492</v>
      </c>
      <c r="P140" s="32" t="s">
        <v>695</v>
      </c>
      <c r="Q140" s="31">
        <f>5770</f>
        <v>5770</v>
      </c>
      <c r="R140" s="32" t="s">
        <v>818</v>
      </c>
      <c r="S140" s="33">
        <f>5760.05</f>
        <v>5760.05</v>
      </c>
      <c r="T140" s="30">
        <f>17513</f>
        <v>17513</v>
      </c>
      <c r="U140" s="30">
        <f>2</f>
        <v>2</v>
      </c>
      <c r="V140" s="30">
        <f>100887940</f>
        <v>100887940</v>
      </c>
      <c r="W140" s="30">
        <f>12381</f>
        <v>12381</v>
      </c>
      <c r="X140" s="34">
        <f>22</f>
        <v>22</v>
      </c>
    </row>
    <row r="141" spans="1:24" x14ac:dyDescent="0.15">
      <c r="A141" s="25" t="s">
        <v>933</v>
      </c>
      <c r="B141" s="25" t="s">
        <v>454</v>
      </c>
      <c r="C141" s="25" t="s">
        <v>455</v>
      </c>
      <c r="D141" s="25" t="s">
        <v>456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14890</f>
        <v>14890</v>
      </c>
      <c r="L141" s="32" t="s">
        <v>904</v>
      </c>
      <c r="M141" s="31">
        <f>15680</f>
        <v>15680</v>
      </c>
      <c r="N141" s="32" t="s">
        <v>935</v>
      </c>
      <c r="O141" s="31">
        <f>14155</f>
        <v>14155</v>
      </c>
      <c r="P141" s="32" t="s">
        <v>911</v>
      </c>
      <c r="Q141" s="31">
        <f>15425</f>
        <v>15425</v>
      </c>
      <c r="R141" s="32" t="s">
        <v>818</v>
      </c>
      <c r="S141" s="33">
        <f>15115.23</f>
        <v>15115.23</v>
      </c>
      <c r="T141" s="30">
        <f>21633</f>
        <v>21633</v>
      </c>
      <c r="U141" s="30">
        <f>5</f>
        <v>5</v>
      </c>
      <c r="V141" s="30">
        <f>325813165</f>
        <v>325813165</v>
      </c>
      <c r="W141" s="30">
        <f>75005</f>
        <v>75005</v>
      </c>
      <c r="X141" s="34">
        <f>22</f>
        <v>22</v>
      </c>
    </row>
    <row r="142" spans="1:24" x14ac:dyDescent="0.15">
      <c r="A142" s="25" t="s">
        <v>933</v>
      </c>
      <c r="B142" s="25" t="s">
        <v>457</v>
      </c>
      <c r="C142" s="25" t="s">
        <v>458</v>
      </c>
      <c r="D142" s="25" t="s">
        <v>459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43850</f>
        <v>43850</v>
      </c>
      <c r="L142" s="32" t="s">
        <v>904</v>
      </c>
      <c r="M142" s="31">
        <f>48960</f>
        <v>48960</v>
      </c>
      <c r="N142" s="32" t="s">
        <v>94</v>
      </c>
      <c r="O142" s="31">
        <f>42700</f>
        <v>42700</v>
      </c>
      <c r="P142" s="32" t="s">
        <v>909</v>
      </c>
      <c r="Q142" s="31">
        <f>48220</f>
        <v>48220</v>
      </c>
      <c r="R142" s="32" t="s">
        <v>818</v>
      </c>
      <c r="S142" s="33">
        <f>45620.45</f>
        <v>45620.45</v>
      </c>
      <c r="T142" s="30">
        <f>10287</f>
        <v>10287</v>
      </c>
      <c r="U142" s="30" t="str">
        <f>"－"</f>
        <v>－</v>
      </c>
      <c r="V142" s="30">
        <f>473681440</f>
        <v>473681440</v>
      </c>
      <c r="W142" s="30" t="str">
        <f>"－"</f>
        <v>－</v>
      </c>
      <c r="X142" s="34">
        <f>22</f>
        <v>22</v>
      </c>
    </row>
    <row r="143" spans="1:24" x14ac:dyDescent="0.15">
      <c r="A143" s="25" t="s">
        <v>933</v>
      </c>
      <c r="B143" s="25" t="s">
        <v>460</v>
      </c>
      <c r="C143" s="25" t="s">
        <v>461</v>
      </c>
      <c r="D143" s="25" t="s">
        <v>462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21700</f>
        <v>21700</v>
      </c>
      <c r="L143" s="32" t="s">
        <v>904</v>
      </c>
      <c r="M143" s="31">
        <f>21800</f>
        <v>21800</v>
      </c>
      <c r="N143" s="32" t="s">
        <v>934</v>
      </c>
      <c r="O143" s="31">
        <f>20575</f>
        <v>20575</v>
      </c>
      <c r="P143" s="32" t="s">
        <v>915</v>
      </c>
      <c r="Q143" s="31">
        <f>21640</f>
        <v>21640</v>
      </c>
      <c r="R143" s="32" t="s">
        <v>818</v>
      </c>
      <c r="S143" s="33">
        <f>21236</f>
        <v>21236</v>
      </c>
      <c r="T143" s="30">
        <f>365</f>
        <v>365</v>
      </c>
      <c r="U143" s="30" t="str">
        <f>"－"</f>
        <v>－</v>
      </c>
      <c r="V143" s="30">
        <f>7811905</f>
        <v>7811905</v>
      </c>
      <c r="W143" s="30" t="str">
        <f>"－"</f>
        <v>－</v>
      </c>
      <c r="X143" s="34">
        <f>20</f>
        <v>20</v>
      </c>
    </row>
    <row r="144" spans="1:24" x14ac:dyDescent="0.15">
      <c r="A144" s="25" t="s">
        <v>933</v>
      </c>
      <c r="B144" s="25" t="s">
        <v>463</v>
      </c>
      <c r="C144" s="25" t="s">
        <v>464</v>
      </c>
      <c r="D144" s="25" t="s">
        <v>465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8559</f>
        <v>8559</v>
      </c>
      <c r="L144" s="32" t="s">
        <v>904</v>
      </c>
      <c r="M144" s="31">
        <f>9330</f>
        <v>9330</v>
      </c>
      <c r="N144" s="32" t="s">
        <v>935</v>
      </c>
      <c r="O144" s="31">
        <f>7888</f>
        <v>7888</v>
      </c>
      <c r="P144" s="32" t="s">
        <v>912</v>
      </c>
      <c r="Q144" s="31">
        <f>8838</f>
        <v>8838</v>
      </c>
      <c r="R144" s="32" t="s">
        <v>818</v>
      </c>
      <c r="S144" s="33">
        <f>8684.09</f>
        <v>8684.09</v>
      </c>
      <c r="T144" s="30">
        <f>25791</f>
        <v>25791</v>
      </c>
      <c r="U144" s="30">
        <f>21</f>
        <v>21</v>
      </c>
      <c r="V144" s="30">
        <f>224581986</f>
        <v>224581986</v>
      </c>
      <c r="W144" s="30">
        <f>177710</f>
        <v>177710</v>
      </c>
      <c r="X144" s="34">
        <f>22</f>
        <v>22</v>
      </c>
    </row>
    <row r="145" spans="1:24" x14ac:dyDescent="0.15">
      <c r="A145" s="25" t="s">
        <v>933</v>
      </c>
      <c r="B145" s="25" t="s">
        <v>466</v>
      </c>
      <c r="C145" s="25" t="s">
        <v>467</v>
      </c>
      <c r="D145" s="25" t="s">
        <v>468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14230</f>
        <v>14230</v>
      </c>
      <c r="L145" s="32" t="s">
        <v>904</v>
      </c>
      <c r="M145" s="31">
        <f>15450</f>
        <v>15450</v>
      </c>
      <c r="N145" s="32" t="s">
        <v>815</v>
      </c>
      <c r="O145" s="31">
        <f>12955</f>
        <v>12955</v>
      </c>
      <c r="P145" s="32" t="s">
        <v>912</v>
      </c>
      <c r="Q145" s="31">
        <f>14985</f>
        <v>14985</v>
      </c>
      <c r="R145" s="32" t="s">
        <v>818</v>
      </c>
      <c r="S145" s="33">
        <f>14338.18</f>
        <v>14338.18</v>
      </c>
      <c r="T145" s="30">
        <f>3914</f>
        <v>3914</v>
      </c>
      <c r="U145" s="30" t="str">
        <f>"－"</f>
        <v>－</v>
      </c>
      <c r="V145" s="30">
        <f>56263440</f>
        <v>56263440</v>
      </c>
      <c r="W145" s="30" t="str">
        <f>"－"</f>
        <v>－</v>
      </c>
      <c r="X145" s="34">
        <f>22</f>
        <v>22</v>
      </c>
    </row>
    <row r="146" spans="1:24" x14ac:dyDescent="0.15">
      <c r="A146" s="25" t="s">
        <v>933</v>
      </c>
      <c r="B146" s="25" t="s">
        <v>469</v>
      </c>
      <c r="C146" s="25" t="s">
        <v>470</v>
      </c>
      <c r="D146" s="25" t="s">
        <v>471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</v>
      </c>
      <c r="K146" s="31">
        <f>28685</f>
        <v>28685</v>
      </c>
      <c r="L146" s="32" t="s">
        <v>904</v>
      </c>
      <c r="M146" s="31">
        <f>30250</f>
        <v>30250</v>
      </c>
      <c r="N146" s="32" t="s">
        <v>936</v>
      </c>
      <c r="O146" s="31">
        <f>26350</f>
        <v>26350</v>
      </c>
      <c r="P146" s="32" t="s">
        <v>911</v>
      </c>
      <c r="Q146" s="31">
        <f>29725</f>
        <v>29725</v>
      </c>
      <c r="R146" s="32" t="s">
        <v>818</v>
      </c>
      <c r="S146" s="33">
        <f>28381.59</f>
        <v>28381.59</v>
      </c>
      <c r="T146" s="30">
        <f>1599</f>
        <v>1599</v>
      </c>
      <c r="U146" s="30" t="str">
        <f>"－"</f>
        <v>－</v>
      </c>
      <c r="V146" s="30">
        <f>45143825</f>
        <v>45143825</v>
      </c>
      <c r="W146" s="30" t="str">
        <f>"－"</f>
        <v>－</v>
      </c>
      <c r="X146" s="34">
        <f>22</f>
        <v>22</v>
      </c>
    </row>
    <row r="147" spans="1:24" x14ac:dyDescent="0.15">
      <c r="A147" s="25" t="s">
        <v>933</v>
      </c>
      <c r="B147" s="25" t="s">
        <v>472</v>
      </c>
      <c r="C147" s="25" t="s">
        <v>473</v>
      </c>
      <c r="D147" s="25" t="s">
        <v>474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1154.5</f>
        <v>1154.5</v>
      </c>
      <c r="L147" s="32" t="s">
        <v>904</v>
      </c>
      <c r="M147" s="31">
        <f>1250</f>
        <v>1250</v>
      </c>
      <c r="N147" s="32" t="s">
        <v>934</v>
      </c>
      <c r="O147" s="31">
        <f>1075</f>
        <v>1075</v>
      </c>
      <c r="P147" s="32" t="s">
        <v>905</v>
      </c>
      <c r="Q147" s="31">
        <f>1223.5</f>
        <v>1223.5</v>
      </c>
      <c r="R147" s="32" t="s">
        <v>818</v>
      </c>
      <c r="S147" s="33">
        <f>1173.07</f>
        <v>1173.07</v>
      </c>
      <c r="T147" s="30">
        <f>171920</f>
        <v>171920</v>
      </c>
      <c r="U147" s="30">
        <f>20</f>
        <v>20</v>
      </c>
      <c r="V147" s="30">
        <f>200310650</f>
        <v>200310650</v>
      </c>
      <c r="W147" s="30">
        <f>22795</f>
        <v>22795</v>
      </c>
      <c r="X147" s="34">
        <f>22</f>
        <v>22</v>
      </c>
    </row>
    <row r="148" spans="1:24" x14ac:dyDescent="0.15">
      <c r="A148" s="25" t="s">
        <v>933</v>
      </c>
      <c r="B148" s="25" t="s">
        <v>475</v>
      </c>
      <c r="C148" s="25" t="s">
        <v>476</v>
      </c>
      <c r="D148" s="25" t="s">
        <v>477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2228</f>
        <v>2228</v>
      </c>
      <c r="L148" s="32" t="s">
        <v>811</v>
      </c>
      <c r="M148" s="31">
        <f>2430</f>
        <v>2430</v>
      </c>
      <c r="N148" s="32" t="s">
        <v>815</v>
      </c>
      <c r="O148" s="31">
        <f>2129.5</f>
        <v>2129.5</v>
      </c>
      <c r="P148" s="32" t="s">
        <v>911</v>
      </c>
      <c r="Q148" s="31">
        <f>2399</f>
        <v>2399</v>
      </c>
      <c r="R148" s="32" t="s">
        <v>818</v>
      </c>
      <c r="S148" s="33">
        <f>2300.32</f>
        <v>2300.3200000000002</v>
      </c>
      <c r="T148" s="30">
        <f>8290</f>
        <v>8290</v>
      </c>
      <c r="U148" s="30" t="str">
        <f>"－"</f>
        <v>－</v>
      </c>
      <c r="V148" s="30">
        <f>18884010</f>
        <v>18884010</v>
      </c>
      <c r="W148" s="30" t="str">
        <f>"－"</f>
        <v>－</v>
      </c>
      <c r="X148" s="34">
        <f>11</f>
        <v>11</v>
      </c>
    </row>
    <row r="149" spans="1:24" x14ac:dyDescent="0.15">
      <c r="A149" s="25" t="s">
        <v>933</v>
      </c>
      <c r="B149" s="25" t="s">
        <v>478</v>
      </c>
      <c r="C149" s="25" t="s">
        <v>479</v>
      </c>
      <c r="D149" s="25" t="s">
        <v>480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2403</f>
        <v>2403</v>
      </c>
      <c r="L149" s="32" t="s">
        <v>909</v>
      </c>
      <c r="M149" s="31">
        <f>2574</f>
        <v>2574</v>
      </c>
      <c r="N149" s="32" t="s">
        <v>815</v>
      </c>
      <c r="O149" s="31">
        <f>2265</f>
        <v>2265</v>
      </c>
      <c r="P149" s="32" t="s">
        <v>911</v>
      </c>
      <c r="Q149" s="31">
        <f>2539</f>
        <v>2539</v>
      </c>
      <c r="R149" s="32" t="s">
        <v>818</v>
      </c>
      <c r="S149" s="33">
        <f>2422.55</f>
        <v>2422.5500000000002</v>
      </c>
      <c r="T149" s="30">
        <f>301350</f>
        <v>301350</v>
      </c>
      <c r="U149" s="30">
        <f>290000</f>
        <v>290000</v>
      </c>
      <c r="V149" s="30">
        <f>759729850</f>
        <v>759729850</v>
      </c>
      <c r="W149" s="30">
        <f>732203000</f>
        <v>732203000</v>
      </c>
      <c r="X149" s="34">
        <f>20</f>
        <v>20</v>
      </c>
    </row>
    <row r="150" spans="1:24" x14ac:dyDescent="0.15">
      <c r="A150" s="25" t="s">
        <v>933</v>
      </c>
      <c r="B150" s="25" t="s">
        <v>481</v>
      </c>
      <c r="C150" s="25" t="s">
        <v>482</v>
      </c>
      <c r="D150" s="25" t="s">
        <v>483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1469.5</f>
        <v>1469.5</v>
      </c>
      <c r="L150" s="32" t="s">
        <v>811</v>
      </c>
      <c r="M150" s="31">
        <f>1568.5</f>
        <v>1568.5</v>
      </c>
      <c r="N150" s="32" t="s">
        <v>815</v>
      </c>
      <c r="O150" s="31">
        <f>1379.5</f>
        <v>1379.5</v>
      </c>
      <c r="P150" s="32" t="s">
        <v>911</v>
      </c>
      <c r="Q150" s="31">
        <f>1568.5</f>
        <v>1568.5</v>
      </c>
      <c r="R150" s="32" t="s">
        <v>818</v>
      </c>
      <c r="S150" s="33">
        <f>1459.95</f>
        <v>1459.95</v>
      </c>
      <c r="T150" s="30">
        <f>2320</f>
        <v>2320</v>
      </c>
      <c r="U150" s="30" t="str">
        <f>"－"</f>
        <v>－</v>
      </c>
      <c r="V150" s="30">
        <f>3360590</f>
        <v>3360590</v>
      </c>
      <c r="W150" s="30" t="str">
        <f>"－"</f>
        <v>－</v>
      </c>
      <c r="X150" s="34">
        <f>11</f>
        <v>11</v>
      </c>
    </row>
    <row r="151" spans="1:24" x14ac:dyDescent="0.15">
      <c r="A151" s="25" t="s">
        <v>933</v>
      </c>
      <c r="B151" s="25" t="s">
        <v>484</v>
      </c>
      <c r="C151" s="25" t="s">
        <v>485</v>
      </c>
      <c r="D151" s="25" t="s">
        <v>486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361.9</f>
        <v>361.9</v>
      </c>
      <c r="L151" s="32" t="s">
        <v>904</v>
      </c>
      <c r="M151" s="31">
        <f>409.4</f>
        <v>409.4</v>
      </c>
      <c r="N151" s="32" t="s">
        <v>934</v>
      </c>
      <c r="O151" s="31">
        <f>345.8</f>
        <v>345.8</v>
      </c>
      <c r="P151" s="32" t="s">
        <v>912</v>
      </c>
      <c r="Q151" s="31">
        <f>404.2</f>
        <v>404.2</v>
      </c>
      <c r="R151" s="32" t="s">
        <v>818</v>
      </c>
      <c r="S151" s="33">
        <f>372.86</f>
        <v>372.86</v>
      </c>
      <c r="T151" s="30">
        <f>123519110</f>
        <v>123519110</v>
      </c>
      <c r="U151" s="30">
        <f>7066920</f>
        <v>7066920</v>
      </c>
      <c r="V151" s="30">
        <f>46638145501</f>
        <v>46638145501</v>
      </c>
      <c r="W151" s="30">
        <f>2562682361</f>
        <v>2562682361</v>
      </c>
      <c r="X151" s="34">
        <f>22</f>
        <v>22</v>
      </c>
    </row>
    <row r="152" spans="1:24" x14ac:dyDescent="0.15">
      <c r="A152" s="25" t="s">
        <v>933</v>
      </c>
      <c r="B152" s="25" t="s">
        <v>487</v>
      </c>
      <c r="C152" s="25" t="s">
        <v>488</v>
      </c>
      <c r="D152" s="25" t="s">
        <v>489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2655</f>
        <v>2655</v>
      </c>
      <c r="L152" s="32" t="s">
        <v>904</v>
      </c>
      <c r="M152" s="31">
        <f>2714</f>
        <v>2714</v>
      </c>
      <c r="N152" s="32" t="s">
        <v>936</v>
      </c>
      <c r="O152" s="31">
        <f>2647</f>
        <v>2647</v>
      </c>
      <c r="P152" s="32" t="s">
        <v>904</v>
      </c>
      <c r="Q152" s="31">
        <f>2697</f>
        <v>2697</v>
      </c>
      <c r="R152" s="32" t="s">
        <v>818</v>
      </c>
      <c r="S152" s="33">
        <f>2672</f>
        <v>2672</v>
      </c>
      <c r="T152" s="30">
        <f>956942</f>
        <v>956942</v>
      </c>
      <c r="U152" s="30">
        <f>260000</f>
        <v>260000</v>
      </c>
      <c r="V152" s="30">
        <f>2559977326</f>
        <v>2559977326</v>
      </c>
      <c r="W152" s="30">
        <f>695736678</f>
        <v>695736678</v>
      </c>
      <c r="X152" s="34">
        <f>22</f>
        <v>22</v>
      </c>
    </row>
    <row r="153" spans="1:24" x14ac:dyDescent="0.15">
      <c r="A153" s="25" t="s">
        <v>933</v>
      </c>
      <c r="B153" s="25" t="s">
        <v>490</v>
      </c>
      <c r="C153" s="25" t="s">
        <v>491</v>
      </c>
      <c r="D153" s="25" t="s">
        <v>492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3150</f>
        <v>3150</v>
      </c>
      <c r="L153" s="32" t="s">
        <v>904</v>
      </c>
      <c r="M153" s="31">
        <f>3540</f>
        <v>3540</v>
      </c>
      <c r="N153" s="32" t="s">
        <v>934</v>
      </c>
      <c r="O153" s="31">
        <f>2979</f>
        <v>2979</v>
      </c>
      <c r="P153" s="32" t="s">
        <v>912</v>
      </c>
      <c r="Q153" s="31">
        <f>3505</f>
        <v>3505</v>
      </c>
      <c r="R153" s="32" t="s">
        <v>818</v>
      </c>
      <c r="S153" s="33">
        <f>3232.36</f>
        <v>3232.36</v>
      </c>
      <c r="T153" s="30">
        <f>96363</f>
        <v>96363</v>
      </c>
      <c r="U153" s="30">
        <f>1642</f>
        <v>1642</v>
      </c>
      <c r="V153" s="30">
        <f>310633857</f>
        <v>310633857</v>
      </c>
      <c r="W153" s="30">
        <f>4926436</f>
        <v>4926436</v>
      </c>
      <c r="X153" s="34">
        <f>22</f>
        <v>22</v>
      </c>
    </row>
    <row r="154" spans="1:24" x14ac:dyDescent="0.15">
      <c r="A154" s="25" t="s">
        <v>933</v>
      </c>
      <c r="B154" s="25" t="s">
        <v>493</v>
      </c>
      <c r="C154" s="25" t="s">
        <v>494</v>
      </c>
      <c r="D154" s="25" t="s">
        <v>495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2218</f>
        <v>2218</v>
      </c>
      <c r="L154" s="32" t="s">
        <v>904</v>
      </c>
      <c r="M154" s="31">
        <f>2319</f>
        <v>2319</v>
      </c>
      <c r="N154" s="32" t="s">
        <v>818</v>
      </c>
      <c r="O154" s="31">
        <f>2007</f>
        <v>2007</v>
      </c>
      <c r="P154" s="32" t="s">
        <v>906</v>
      </c>
      <c r="Q154" s="31">
        <f>2288</f>
        <v>2288</v>
      </c>
      <c r="R154" s="32" t="s">
        <v>818</v>
      </c>
      <c r="S154" s="33">
        <f>2170</f>
        <v>2170</v>
      </c>
      <c r="T154" s="30">
        <f>269553</f>
        <v>269553</v>
      </c>
      <c r="U154" s="30">
        <f>2489</f>
        <v>2489</v>
      </c>
      <c r="V154" s="30">
        <f>575247757</f>
        <v>575247757</v>
      </c>
      <c r="W154" s="30">
        <f>4998123</f>
        <v>4998123</v>
      </c>
      <c r="X154" s="34">
        <f>22</f>
        <v>22</v>
      </c>
    </row>
    <row r="155" spans="1:24" x14ac:dyDescent="0.15">
      <c r="A155" s="25" t="s">
        <v>933</v>
      </c>
      <c r="B155" s="25" t="s">
        <v>496</v>
      </c>
      <c r="C155" s="25" t="s">
        <v>497</v>
      </c>
      <c r="D155" s="25" t="s">
        <v>498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2600</f>
        <v>2600</v>
      </c>
      <c r="L155" s="32" t="s">
        <v>904</v>
      </c>
      <c r="M155" s="31">
        <f>3010</f>
        <v>3010</v>
      </c>
      <c r="N155" s="32" t="s">
        <v>934</v>
      </c>
      <c r="O155" s="31">
        <f>2570</f>
        <v>2570</v>
      </c>
      <c r="P155" s="32" t="s">
        <v>909</v>
      </c>
      <c r="Q155" s="31">
        <f>2970</f>
        <v>2970</v>
      </c>
      <c r="R155" s="32" t="s">
        <v>818</v>
      </c>
      <c r="S155" s="33">
        <f>2739.95</f>
        <v>2739.95</v>
      </c>
      <c r="T155" s="30">
        <f>491706</f>
        <v>491706</v>
      </c>
      <c r="U155" s="30">
        <f>190058</f>
        <v>190058</v>
      </c>
      <c r="V155" s="30">
        <f>1355939780</f>
        <v>1355939780</v>
      </c>
      <c r="W155" s="30">
        <f>526724863</f>
        <v>526724863</v>
      </c>
      <c r="X155" s="34">
        <f>22</f>
        <v>22</v>
      </c>
    </row>
    <row r="156" spans="1:24" x14ac:dyDescent="0.15">
      <c r="A156" s="25" t="s">
        <v>933</v>
      </c>
      <c r="B156" s="25" t="s">
        <v>499</v>
      </c>
      <c r="C156" s="25" t="s">
        <v>500</v>
      </c>
      <c r="D156" s="25" t="s">
        <v>501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10615</f>
        <v>10615</v>
      </c>
      <c r="L156" s="32" t="s">
        <v>904</v>
      </c>
      <c r="M156" s="31">
        <f>11590</f>
        <v>11590</v>
      </c>
      <c r="N156" s="32" t="s">
        <v>934</v>
      </c>
      <c r="O156" s="31">
        <f>10385</f>
        <v>10385</v>
      </c>
      <c r="P156" s="32" t="s">
        <v>911</v>
      </c>
      <c r="Q156" s="31">
        <f>11370</f>
        <v>11370</v>
      </c>
      <c r="R156" s="32" t="s">
        <v>818</v>
      </c>
      <c r="S156" s="33">
        <f>10827.95</f>
        <v>10827.95</v>
      </c>
      <c r="T156" s="30">
        <f>48656</f>
        <v>48656</v>
      </c>
      <c r="U156" s="30">
        <f>14803</f>
        <v>14803</v>
      </c>
      <c r="V156" s="30">
        <f>527136874</f>
        <v>527136874</v>
      </c>
      <c r="W156" s="30">
        <f>161440999</f>
        <v>161440999</v>
      </c>
      <c r="X156" s="34">
        <f>22</f>
        <v>22</v>
      </c>
    </row>
    <row r="157" spans="1:24" x14ac:dyDescent="0.15">
      <c r="A157" s="25" t="s">
        <v>933</v>
      </c>
      <c r="B157" s="25" t="s">
        <v>502</v>
      </c>
      <c r="C157" s="25" t="s">
        <v>503</v>
      </c>
      <c r="D157" s="25" t="s">
        <v>504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2244</f>
        <v>2244</v>
      </c>
      <c r="L157" s="32" t="s">
        <v>904</v>
      </c>
      <c r="M157" s="31">
        <f>2950</f>
        <v>2950</v>
      </c>
      <c r="N157" s="32" t="s">
        <v>911</v>
      </c>
      <c r="O157" s="31">
        <f>2240</f>
        <v>2240</v>
      </c>
      <c r="P157" s="32" t="s">
        <v>904</v>
      </c>
      <c r="Q157" s="31">
        <f>2618</f>
        <v>2618</v>
      </c>
      <c r="R157" s="32" t="s">
        <v>818</v>
      </c>
      <c r="S157" s="33">
        <f>2636.05</f>
        <v>2636.05</v>
      </c>
      <c r="T157" s="30">
        <f>53588743</f>
        <v>53588743</v>
      </c>
      <c r="U157" s="30">
        <f>1250</f>
        <v>1250</v>
      </c>
      <c r="V157" s="30">
        <f>142574104587</f>
        <v>142574104587</v>
      </c>
      <c r="W157" s="30">
        <f>3169461</f>
        <v>3169461</v>
      </c>
      <c r="X157" s="34">
        <f>22</f>
        <v>22</v>
      </c>
    </row>
    <row r="158" spans="1:24" x14ac:dyDescent="0.15">
      <c r="A158" s="25" t="s">
        <v>933</v>
      </c>
      <c r="B158" s="25" t="s">
        <v>505</v>
      </c>
      <c r="C158" s="25" t="s">
        <v>506</v>
      </c>
      <c r="D158" s="25" t="s">
        <v>507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20690</f>
        <v>20690</v>
      </c>
      <c r="L158" s="32" t="s">
        <v>904</v>
      </c>
      <c r="M158" s="31">
        <f>22600</f>
        <v>22600</v>
      </c>
      <c r="N158" s="32" t="s">
        <v>94</v>
      </c>
      <c r="O158" s="31">
        <f>20595</f>
        <v>20595</v>
      </c>
      <c r="P158" s="32" t="s">
        <v>904</v>
      </c>
      <c r="Q158" s="31">
        <f>22035</f>
        <v>22035</v>
      </c>
      <c r="R158" s="32" t="s">
        <v>818</v>
      </c>
      <c r="S158" s="33">
        <f>21748.86</f>
        <v>21748.86</v>
      </c>
      <c r="T158" s="30">
        <f>13140</f>
        <v>13140</v>
      </c>
      <c r="U158" s="30">
        <f>8</f>
        <v>8</v>
      </c>
      <c r="V158" s="30">
        <f>285778405</f>
        <v>285778405</v>
      </c>
      <c r="W158" s="30">
        <f>170590</f>
        <v>170590</v>
      </c>
      <c r="X158" s="34">
        <f>22</f>
        <v>22</v>
      </c>
    </row>
    <row r="159" spans="1:24" x14ac:dyDescent="0.15">
      <c r="A159" s="25" t="s">
        <v>933</v>
      </c>
      <c r="B159" s="25" t="s">
        <v>508</v>
      </c>
      <c r="C159" s="25" t="s">
        <v>509</v>
      </c>
      <c r="D159" s="25" t="s">
        <v>510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2599.5</f>
        <v>2599.5</v>
      </c>
      <c r="L159" s="32" t="s">
        <v>904</v>
      </c>
      <c r="M159" s="31">
        <f>2941.5</f>
        <v>2941.5</v>
      </c>
      <c r="N159" s="32" t="s">
        <v>911</v>
      </c>
      <c r="O159" s="31">
        <f>2592</f>
        <v>2592</v>
      </c>
      <c r="P159" s="32" t="s">
        <v>904</v>
      </c>
      <c r="Q159" s="31">
        <f>2791</f>
        <v>2791</v>
      </c>
      <c r="R159" s="32" t="s">
        <v>818</v>
      </c>
      <c r="S159" s="33">
        <f>2786.23</f>
        <v>2786.23</v>
      </c>
      <c r="T159" s="30">
        <f>95800</f>
        <v>95800</v>
      </c>
      <c r="U159" s="30">
        <f>40</f>
        <v>40</v>
      </c>
      <c r="V159" s="30">
        <f>269427875</f>
        <v>269427875</v>
      </c>
      <c r="W159" s="30">
        <f>108160</f>
        <v>108160</v>
      </c>
      <c r="X159" s="34">
        <f>22</f>
        <v>22</v>
      </c>
    </row>
    <row r="160" spans="1:24" x14ac:dyDescent="0.15">
      <c r="A160" s="25" t="s">
        <v>933</v>
      </c>
      <c r="B160" s="25" t="s">
        <v>511</v>
      </c>
      <c r="C160" s="25" t="s">
        <v>512</v>
      </c>
      <c r="D160" s="25" t="s">
        <v>513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11275</f>
        <v>11275</v>
      </c>
      <c r="L160" s="32" t="s">
        <v>904</v>
      </c>
      <c r="M160" s="31">
        <f>12800</f>
        <v>12800</v>
      </c>
      <c r="N160" s="32" t="s">
        <v>911</v>
      </c>
      <c r="O160" s="31">
        <f>10660</f>
        <v>10660</v>
      </c>
      <c r="P160" s="32" t="s">
        <v>906</v>
      </c>
      <c r="Q160" s="31">
        <f>11155</f>
        <v>11155</v>
      </c>
      <c r="R160" s="32" t="s">
        <v>818</v>
      </c>
      <c r="S160" s="33">
        <f>11575.23</f>
        <v>11575.23</v>
      </c>
      <c r="T160" s="30">
        <f>17700</f>
        <v>17700</v>
      </c>
      <c r="U160" s="30" t="str">
        <f>"－"</f>
        <v>－</v>
      </c>
      <c r="V160" s="30">
        <f>209864490</f>
        <v>209864490</v>
      </c>
      <c r="W160" s="30" t="str">
        <f>"－"</f>
        <v>－</v>
      </c>
      <c r="X160" s="34">
        <f>22</f>
        <v>22</v>
      </c>
    </row>
    <row r="161" spans="1:24" x14ac:dyDescent="0.15">
      <c r="A161" s="25" t="s">
        <v>933</v>
      </c>
      <c r="B161" s="25" t="s">
        <v>514</v>
      </c>
      <c r="C161" s="25" t="s">
        <v>515</v>
      </c>
      <c r="D161" s="25" t="s">
        <v>516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26925</f>
        <v>26925</v>
      </c>
      <c r="L161" s="32" t="s">
        <v>904</v>
      </c>
      <c r="M161" s="31">
        <f>39800</f>
        <v>39800</v>
      </c>
      <c r="N161" s="32" t="s">
        <v>912</v>
      </c>
      <c r="O161" s="31">
        <f>24400</f>
        <v>24400</v>
      </c>
      <c r="P161" s="32" t="s">
        <v>934</v>
      </c>
      <c r="Q161" s="31">
        <f>25380</f>
        <v>25380</v>
      </c>
      <c r="R161" s="32" t="s">
        <v>818</v>
      </c>
      <c r="S161" s="33">
        <f>29151.14</f>
        <v>29151.14</v>
      </c>
      <c r="T161" s="30">
        <f>33753</f>
        <v>33753</v>
      </c>
      <c r="U161" s="30">
        <f>4</f>
        <v>4</v>
      </c>
      <c r="V161" s="30">
        <f>1043605810</f>
        <v>1043605810</v>
      </c>
      <c r="W161" s="30">
        <f>113790</f>
        <v>113790</v>
      </c>
      <c r="X161" s="34">
        <f>22</f>
        <v>22</v>
      </c>
    </row>
    <row r="162" spans="1:24" x14ac:dyDescent="0.15">
      <c r="A162" s="25" t="s">
        <v>933</v>
      </c>
      <c r="B162" s="25" t="s">
        <v>517</v>
      </c>
      <c r="C162" s="25" t="s">
        <v>518</v>
      </c>
      <c r="D162" s="25" t="s">
        <v>519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</v>
      </c>
      <c r="K162" s="31">
        <f>17995</f>
        <v>17995</v>
      </c>
      <c r="L162" s="32" t="s">
        <v>909</v>
      </c>
      <c r="M162" s="31">
        <f>23020</f>
        <v>23020</v>
      </c>
      <c r="N162" s="32" t="s">
        <v>905</v>
      </c>
      <c r="O162" s="31">
        <f>17800</f>
        <v>17800</v>
      </c>
      <c r="P162" s="32" t="s">
        <v>907</v>
      </c>
      <c r="Q162" s="31">
        <f>18515</f>
        <v>18515</v>
      </c>
      <c r="R162" s="32" t="s">
        <v>818</v>
      </c>
      <c r="S162" s="33">
        <f>19544.05</f>
        <v>19544.05</v>
      </c>
      <c r="T162" s="30">
        <f>2736</f>
        <v>2736</v>
      </c>
      <c r="U162" s="30" t="str">
        <f>"－"</f>
        <v>－</v>
      </c>
      <c r="V162" s="30">
        <f>55043675</f>
        <v>55043675</v>
      </c>
      <c r="W162" s="30" t="str">
        <f>"－"</f>
        <v>－</v>
      </c>
      <c r="X162" s="34">
        <f>21</f>
        <v>21</v>
      </c>
    </row>
    <row r="163" spans="1:24" x14ac:dyDescent="0.15">
      <c r="A163" s="25" t="s">
        <v>933</v>
      </c>
      <c r="B163" s="25" t="s">
        <v>520</v>
      </c>
      <c r="C163" s="25" t="s">
        <v>521</v>
      </c>
      <c r="D163" s="25" t="s">
        <v>522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50550</f>
        <v>50550</v>
      </c>
      <c r="L163" s="32" t="s">
        <v>904</v>
      </c>
      <c r="M163" s="31">
        <f>51700</f>
        <v>51700</v>
      </c>
      <c r="N163" s="32" t="s">
        <v>936</v>
      </c>
      <c r="O163" s="31">
        <f>49630</f>
        <v>49630</v>
      </c>
      <c r="P163" s="32" t="s">
        <v>821</v>
      </c>
      <c r="Q163" s="31">
        <f>51470</f>
        <v>51470</v>
      </c>
      <c r="R163" s="32" t="s">
        <v>818</v>
      </c>
      <c r="S163" s="33">
        <f>50524.55</f>
        <v>50524.55</v>
      </c>
      <c r="T163" s="30">
        <f>11580</f>
        <v>11580</v>
      </c>
      <c r="U163" s="30">
        <f>5520</f>
        <v>5520</v>
      </c>
      <c r="V163" s="30">
        <f>587637570</f>
        <v>587637570</v>
      </c>
      <c r="W163" s="30">
        <f>282114570</f>
        <v>282114570</v>
      </c>
      <c r="X163" s="34">
        <f>22</f>
        <v>22</v>
      </c>
    </row>
    <row r="164" spans="1:24" x14ac:dyDescent="0.15">
      <c r="A164" s="25" t="s">
        <v>933</v>
      </c>
      <c r="B164" s="25" t="s">
        <v>523</v>
      </c>
      <c r="C164" s="25" t="s">
        <v>524</v>
      </c>
      <c r="D164" s="25" t="s">
        <v>525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100</v>
      </c>
      <c r="K164" s="31">
        <f>225.9</f>
        <v>225.9</v>
      </c>
      <c r="L164" s="32" t="s">
        <v>904</v>
      </c>
      <c r="M164" s="31">
        <f>250.8</f>
        <v>250.8</v>
      </c>
      <c r="N164" s="32" t="s">
        <v>934</v>
      </c>
      <c r="O164" s="31">
        <f>202.8</f>
        <v>202.8</v>
      </c>
      <c r="P164" s="32" t="s">
        <v>912</v>
      </c>
      <c r="Q164" s="31">
        <f>249</f>
        <v>249</v>
      </c>
      <c r="R164" s="32" t="s">
        <v>818</v>
      </c>
      <c r="S164" s="33">
        <f>230.75</f>
        <v>230.75</v>
      </c>
      <c r="T164" s="30">
        <f>18396900</f>
        <v>18396900</v>
      </c>
      <c r="U164" s="30">
        <f>100</f>
        <v>100</v>
      </c>
      <c r="V164" s="30">
        <f>4230957240</f>
        <v>4230957240</v>
      </c>
      <c r="W164" s="30">
        <f>22240</f>
        <v>22240</v>
      </c>
      <c r="X164" s="34">
        <f>22</f>
        <v>22</v>
      </c>
    </row>
    <row r="165" spans="1:24" x14ac:dyDescent="0.15">
      <c r="A165" s="25" t="s">
        <v>933</v>
      </c>
      <c r="B165" s="25" t="s">
        <v>526</v>
      </c>
      <c r="C165" s="25" t="s">
        <v>527</v>
      </c>
      <c r="D165" s="25" t="s">
        <v>528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33650</f>
        <v>33650</v>
      </c>
      <c r="L165" s="32" t="s">
        <v>904</v>
      </c>
      <c r="M165" s="31">
        <f>37670</f>
        <v>37670</v>
      </c>
      <c r="N165" s="32" t="s">
        <v>936</v>
      </c>
      <c r="O165" s="31">
        <f>32510</f>
        <v>32510</v>
      </c>
      <c r="P165" s="32" t="s">
        <v>912</v>
      </c>
      <c r="Q165" s="31">
        <f>37080</f>
        <v>37080</v>
      </c>
      <c r="R165" s="32" t="s">
        <v>818</v>
      </c>
      <c r="S165" s="33">
        <f>34838.64</f>
        <v>34838.639999999999</v>
      </c>
      <c r="T165" s="30">
        <f>14860</f>
        <v>14860</v>
      </c>
      <c r="U165" s="30">
        <f>90</f>
        <v>90</v>
      </c>
      <c r="V165" s="30">
        <f>518861600</f>
        <v>518861600</v>
      </c>
      <c r="W165" s="30">
        <f>3199100</f>
        <v>3199100</v>
      </c>
      <c r="X165" s="34">
        <f>22</f>
        <v>22</v>
      </c>
    </row>
    <row r="166" spans="1:24" x14ac:dyDescent="0.15">
      <c r="A166" s="25" t="s">
        <v>933</v>
      </c>
      <c r="B166" s="25" t="s">
        <v>529</v>
      </c>
      <c r="C166" s="25" t="s">
        <v>530</v>
      </c>
      <c r="D166" s="25" t="s">
        <v>531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3602</f>
        <v>3602</v>
      </c>
      <c r="L166" s="32" t="s">
        <v>904</v>
      </c>
      <c r="M166" s="31">
        <f>4040</f>
        <v>4040</v>
      </c>
      <c r="N166" s="32" t="s">
        <v>934</v>
      </c>
      <c r="O166" s="31">
        <f>3395</f>
        <v>3395</v>
      </c>
      <c r="P166" s="32" t="s">
        <v>912</v>
      </c>
      <c r="Q166" s="31">
        <f>3998</f>
        <v>3998</v>
      </c>
      <c r="R166" s="32" t="s">
        <v>818</v>
      </c>
      <c r="S166" s="33">
        <f>3691.09</f>
        <v>3691.09</v>
      </c>
      <c r="T166" s="30">
        <f>421410</f>
        <v>421410</v>
      </c>
      <c r="U166" s="30">
        <f>157070</f>
        <v>157070</v>
      </c>
      <c r="V166" s="30">
        <f>1494186860</f>
        <v>1494186860</v>
      </c>
      <c r="W166" s="30">
        <f>539859170</f>
        <v>539859170</v>
      </c>
      <c r="X166" s="34">
        <f>22</f>
        <v>22</v>
      </c>
    </row>
    <row r="167" spans="1:24" x14ac:dyDescent="0.15">
      <c r="A167" s="25" t="s">
        <v>933</v>
      </c>
      <c r="B167" s="25" t="s">
        <v>532</v>
      </c>
      <c r="C167" s="25" t="s">
        <v>533</v>
      </c>
      <c r="D167" s="25" t="s">
        <v>534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1676</f>
        <v>1676</v>
      </c>
      <c r="L167" s="32" t="s">
        <v>904</v>
      </c>
      <c r="M167" s="31">
        <f>1775</f>
        <v>1775</v>
      </c>
      <c r="N167" s="32" t="s">
        <v>934</v>
      </c>
      <c r="O167" s="31">
        <f>1528.5</f>
        <v>1528.5</v>
      </c>
      <c r="P167" s="32" t="s">
        <v>915</v>
      </c>
      <c r="Q167" s="31">
        <f>1763</f>
        <v>1763</v>
      </c>
      <c r="R167" s="32" t="s">
        <v>818</v>
      </c>
      <c r="S167" s="33">
        <f>1653.41</f>
        <v>1653.41</v>
      </c>
      <c r="T167" s="30">
        <f>299710</f>
        <v>299710</v>
      </c>
      <c r="U167" s="30">
        <f>30</f>
        <v>30</v>
      </c>
      <c r="V167" s="30">
        <f>504176420</f>
        <v>504176420</v>
      </c>
      <c r="W167" s="30">
        <f>50840</f>
        <v>50840</v>
      </c>
      <c r="X167" s="34">
        <f>22</f>
        <v>22</v>
      </c>
    </row>
    <row r="168" spans="1:24" x14ac:dyDescent="0.15">
      <c r="A168" s="25" t="s">
        <v>933</v>
      </c>
      <c r="B168" s="25" t="s">
        <v>535</v>
      </c>
      <c r="C168" s="25" t="s">
        <v>536</v>
      </c>
      <c r="D168" s="25" t="s">
        <v>537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100</v>
      </c>
      <c r="K168" s="31">
        <f>207.4</f>
        <v>207.4</v>
      </c>
      <c r="L168" s="32" t="s">
        <v>904</v>
      </c>
      <c r="M168" s="31">
        <f>234.9</f>
        <v>234.9</v>
      </c>
      <c r="N168" s="32" t="s">
        <v>911</v>
      </c>
      <c r="O168" s="31">
        <f>191.2</f>
        <v>191.2</v>
      </c>
      <c r="P168" s="32" t="s">
        <v>906</v>
      </c>
      <c r="Q168" s="31">
        <f>203.3</f>
        <v>203.3</v>
      </c>
      <c r="R168" s="32" t="s">
        <v>818</v>
      </c>
      <c r="S168" s="33">
        <f>209.98</f>
        <v>209.98</v>
      </c>
      <c r="T168" s="30">
        <f>940100</f>
        <v>940100</v>
      </c>
      <c r="U168" s="30">
        <f>600</f>
        <v>600</v>
      </c>
      <c r="V168" s="30">
        <f>201033430</f>
        <v>201033430</v>
      </c>
      <c r="W168" s="30">
        <f>122400</f>
        <v>122400</v>
      </c>
      <c r="X168" s="34">
        <f>22</f>
        <v>22</v>
      </c>
    </row>
    <row r="169" spans="1:24" x14ac:dyDescent="0.15">
      <c r="A169" s="25" t="s">
        <v>933</v>
      </c>
      <c r="B169" s="25" t="s">
        <v>538</v>
      </c>
      <c r="C169" s="25" t="s">
        <v>539</v>
      </c>
      <c r="D169" s="25" t="s">
        <v>540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1291</f>
        <v>1291</v>
      </c>
      <c r="L169" s="32" t="s">
        <v>904</v>
      </c>
      <c r="M169" s="31">
        <f>1630.5</f>
        <v>1630.5</v>
      </c>
      <c r="N169" s="32" t="s">
        <v>820</v>
      </c>
      <c r="O169" s="31">
        <f>1267.5</f>
        <v>1267.5</v>
      </c>
      <c r="P169" s="32" t="s">
        <v>904</v>
      </c>
      <c r="Q169" s="31">
        <f>1616.5</f>
        <v>1616.5</v>
      </c>
      <c r="R169" s="32" t="s">
        <v>818</v>
      </c>
      <c r="S169" s="33">
        <f>1506.82</f>
        <v>1506.82</v>
      </c>
      <c r="T169" s="30">
        <f>16560</f>
        <v>16560</v>
      </c>
      <c r="U169" s="30" t="str">
        <f>"－"</f>
        <v>－</v>
      </c>
      <c r="V169" s="30">
        <f>25113730</f>
        <v>25113730</v>
      </c>
      <c r="W169" s="30" t="str">
        <f>"－"</f>
        <v>－</v>
      </c>
      <c r="X169" s="34">
        <f>22</f>
        <v>22</v>
      </c>
    </row>
    <row r="170" spans="1:24" x14ac:dyDescent="0.15">
      <c r="A170" s="25" t="s">
        <v>933</v>
      </c>
      <c r="B170" s="25" t="s">
        <v>541</v>
      </c>
      <c r="C170" s="25" t="s">
        <v>542</v>
      </c>
      <c r="D170" s="25" t="s">
        <v>543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489.1</f>
        <v>489.1</v>
      </c>
      <c r="L170" s="32" t="s">
        <v>904</v>
      </c>
      <c r="M170" s="31">
        <f>633.8</f>
        <v>633.79999999999995</v>
      </c>
      <c r="N170" s="32" t="s">
        <v>815</v>
      </c>
      <c r="O170" s="31">
        <f>482.3</f>
        <v>482.3</v>
      </c>
      <c r="P170" s="32" t="s">
        <v>904</v>
      </c>
      <c r="Q170" s="31">
        <f>584.5</f>
        <v>584.5</v>
      </c>
      <c r="R170" s="32" t="s">
        <v>818</v>
      </c>
      <c r="S170" s="33">
        <f>568.88</f>
        <v>568.88</v>
      </c>
      <c r="T170" s="30">
        <f>486720</f>
        <v>486720</v>
      </c>
      <c r="U170" s="30">
        <f>80</f>
        <v>80</v>
      </c>
      <c r="V170" s="30">
        <f>279885073</f>
        <v>279885073</v>
      </c>
      <c r="W170" s="30">
        <f>44360</f>
        <v>44360</v>
      </c>
      <c r="X170" s="34">
        <f>22</f>
        <v>22</v>
      </c>
    </row>
    <row r="171" spans="1:24" x14ac:dyDescent="0.15">
      <c r="A171" s="25" t="s">
        <v>933</v>
      </c>
      <c r="B171" s="25" t="s">
        <v>544</v>
      </c>
      <c r="C171" s="25" t="s">
        <v>545</v>
      </c>
      <c r="D171" s="25" t="s">
        <v>546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2161</f>
        <v>2161</v>
      </c>
      <c r="L171" s="32" t="s">
        <v>904</v>
      </c>
      <c r="M171" s="31">
        <f>3143</f>
        <v>3143</v>
      </c>
      <c r="N171" s="32" t="s">
        <v>811</v>
      </c>
      <c r="O171" s="31">
        <f>2131.5</f>
        <v>2131.5</v>
      </c>
      <c r="P171" s="32" t="s">
        <v>904</v>
      </c>
      <c r="Q171" s="31">
        <f>2551.5</f>
        <v>2551.5</v>
      </c>
      <c r="R171" s="32" t="s">
        <v>818</v>
      </c>
      <c r="S171" s="33">
        <f>2536</f>
        <v>2536</v>
      </c>
      <c r="T171" s="30">
        <f>79430</f>
        <v>79430</v>
      </c>
      <c r="U171" s="30" t="str">
        <f>"－"</f>
        <v>－</v>
      </c>
      <c r="V171" s="30">
        <f>214054310</f>
        <v>214054310</v>
      </c>
      <c r="W171" s="30" t="str">
        <f>"－"</f>
        <v>－</v>
      </c>
      <c r="X171" s="34">
        <f>22</f>
        <v>22</v>
      </c>
    </row>
    <row r="172" spans="1:24" x14ac:dyDescent="0.15">
      <c r="A172" s="25" t="s">
        <v>933</v>
      </c>
      <c r="B172" s="25" t="s">
        <v>547</v>
      </c>
      <c r="C172" s="25" t="s">
        <v>548</v>
      </c>
      <c r="D172" s="25" t="s">
        <v>549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780</f>
        <v>780</v>
      </c>
      <c r="L172" s="32" t="s">
        <v>904</v>
      </c>
      <c r="M172" s="31">
        <f>908.9</f>
        <v>908.9</v>
      </c>
      <c r="N172" s="32" t="s">
        <v>94</v>
      </c>
      <c r="O172" s="31">
        <f>774.9</f>
        <v>774.9</v>
      </c>
      <c r="P172" s="32" t="s">
        <v>904</v>
      </c>
      <c r="Q172" s="31">
        <f>862.9</f>
        <v>862.9</v>
      </c>
      <c r="R172" s="32" t="s">
        <v>818</v>
      </c>
      <c r="S172" s="33">
        <f>856.85</f>
        <v>856.85</v>
      </c>
      <c r="T172" s="30">
        <f>364690</f>
        <v>364690</v>
      </c>
      <c r="U172" s="30" t="str">
        <f>"－"</f>
        <v>－</v>
      </c>
      <c r="V172" s="30">
        <f>310883897</f>
        <v>310883897</v>
      </c>
      <c r="W172" s="30" t="str">
        <f>"－"</f>
        <v>－</v>
      </c>
      <c r="X172" s="34">
        <f>22</f>
        <v>22</v>
      </c>
    </row>
    <row r="173" spans="1:24" x14ac:dyDescent="0.15">
      <c r="A173" s="25" t="s">
        <v>933</v>
      </c>
      <c r="B173" s="25" t="s">
        <v>550</v>
      </c>
      <c r="C173" s="25" t="s">
        <v>551</v>
      </c>
      <c r="D173" s="25" t="s">
        <v>552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581.3</f>
        <v>581.29999999999995</v>
      </c>
      <c r="L173" s="32" t="s">
        <v>904</v>
      </c>
      <c r="M173" s="31">
        <f>728</f>
        <v>728</v>
      </c>
      <c r="N173" s="32" t="s">
        <v>70</v>
      </c>
      <c r="O173" s="31">
        <f>572.9</f>
        <v>572.9</v>
      </c>
      <c r="P173" s="32" t="s">
        <v>904</v>
      </c>
      <c r="Q173" s="31">
        <f>644.3</f>
        <v>644.29999999999995</v>
      </c>
      <c r="R173" s="32" t="s">
        <v>818</v>
      </c>
      <c r="S173" s="33">
        <f>650.07</f>
        <v>650.07000000000005</v>
      </c>
      <c r="T173" s="30">
        <f>2609450</f>
        <v>2609450</v>
      </c>
      <c r="U173" s="30" t="str">
        <f>"－"</f>
        <v>－</v>
      </c>
      <c r="V173" s="30">
        <f>1722323791</f>
        <v>1722323791</v>
      </c>
      <c r="W173" s="30" t="str">
        <f>"－"</f>
        <v>－</v>
      </c>
      <c r="X173" s="34">
        <f>22</f>
        <v>22</v>
      </c>
    </row>
    <row r="174" spans="1:24" x14ac:dyDescent="0.15">
      <c r="A174" s="25" t="s">
        <v>933</v>
      </c>
      <c r="B174" s="25" t="s">
        <v>553</v>
      </c>
      <c r="C174" s="25" t="s">
        <v>554</v>
      </c>
      <c r="D174" s="25" t="s">
        <v>555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2.2</f>
        <v>2.2000000000000002</v>
      </c>
      <c r="L174" s="32" t="s">
        <v>904</v>
      </c>
      <c r="M174" s="31">
        <f>3</f>
        <v>3</v>
      </c>
      <c r="N174" s="32" t="s">
        <v>94</v>
      </c>
      <c r="O174" s="31">
        <f>2.1</f>
        <v>2.1</v>
      </c>
      <c r="P174" s="32" t="s">
        <v>904</v>
      </c>
      <c r="Q174" s="31">
        <f>2.8</f>
        <v>2.8</v>
      </c>
      <c r="R174" s="32" t="s">
        <v>818</v>
      </c>
      <c r="S174" s="33">
        <f>2.46</f>
        <v>2.46</v>
      </c>
      <c r="T174" s="30">
        <f>596984100</f>
        <v>596984100</v>
      </c>
      <c r="U174" s="30">
        <f>1903900</f>
        <v>1903900</v>
      </c>
      <c r="V174" s="30">
        <f>1486089020</f>
        <v>1486089020</v>
      </c>
      <c r="W174" s="30">
        <f>4959850</f>
        <v>4959850</v>
      </c>
      <c r="X174" s="34">
        <f>22</f>
        <v>22</v>
      </c>
    </row>
    <row r="175" spans="1:24" x14ac:dyDescent="0.15">
      <c r="A175" s="25" t="s">
        <v>933</v>
      </c>
      <c r="B175" s="25" t="s">
        <v>556</v>
      </c>
      <c r="C175" s="25" t="s">
        <v>557</v>
      </c>
      <c r="D175" s="25" t="s">
        <v>558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1038.5</f>
        <v>1038.5</v>
      </c>
      <c r="L175" s="32" t="s">
        <v>904</v>
      </c>
      <c r="M175" s="31">
        <f>1355</f>
        <v>1355</v>
      </c>
      <c r="N175" s="32" t="s">
        <v>820</v>
      </c>
      <c r="O175" s="31">
        <f>1029.5</f>
        <v>1029.5</v>
      </c>
      <c r="P175" s="32" t="s">
        <v>904</v>
      </c>
      <c r="Q175" s="31">
        <f>1220</f>
        <v>1220</v>
      </c>
      <c r="R175" s="32" t="s">
        <v>818</v>
      </c>
      <c r="S175" s="33">
        <f>1213.95</f>
        <v>1213.95</v>
      </c>
      <c r="T175" s="30">
        <f>1674960</f>
        <v>1674960</v>
      </c>
      <c r="U175" s="30" t="str">
        <f>"－"</f>
        <v>－</v>
      </c>
      <c r="V175" s="30">
        <f>2053281615</f>
        <v>2053281615</v>
      </c>
      <c r="W175" s="30" t="str">
        <f>"－"</f>
        <v>－</v>
      </c>
      <c r="X175" s="34">
        <f>22</f>
        <v>22</v>
      </c>
    </row>
    <row r="176" spans="1:24" x14ac:dyDescent="0.15">
      <c r="A176" s="25" t="s">
        <v>933</v>
      </c>
      <c r="B176" s="25" t="s">
        <v>559</v>
      </c>
      <c r="C176" s="25" t="s">
        <v>560</v>
      </c>
      <c r="D176" s="25" t="s">
        <v>561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</v>
      </c>
      <c r="K176" s="31">
        <f>4880</f>
        <v>4880</v>
      </c>
      <c r="L176" s="32" t="s">
        <v>904</v>
      </c>
      <c r="M176" s="31">
        <f>6150</f>
        <v>6150</v>
      </c>
      <c r="N176" s="32" t="s">
        <v>70</v>
      </c>
      <c r="O176" s="31">
        <f>4700</f>
        <v>4700</v>
      </c>
      <c r="P176" s="32" t="s">
        <v>906</v>
      </c>
      <c r="Q176" s="31">
        <f>5300</f>
        <v>5300</v>
      </c>
      <c r="R176" s="32" t="s">
        <v>818</v>
      </c>
      <c r="S176" s="33">
        <f>5379.55</f>
        <v>5379.55</v>
      </c>
      <c r="T176" s="30">
        <f>20171</f>
        <v>20171</v>
      </c>
      <c r="U176" s="30" t="str">
        <f>"－"</f>
        <v>－</v>
      </c>
      <c r="V176" s="30">
        <f>111485615</f>
        <v>111485615</v>
      </c>
      <c r="W176" s="30" t="str">
        <f>"－"</f>
        <v>－</v>
      </c>
      <c r="X176" s="34">
        <f>22</f>
        <v>22</v>
      </c>
    </row>
    <row r="177" spans="1:24" x14ac:dyDescent="0.15">
      <c r="A177" s="25" t="s">
        <v>933</v>
      </c>
      <c r="B177" s="25" t="s">
        <v>562</v>
      </c>
      <c r="C177" s="25" t="s">
        <v>563</v>
      </c>
      <c r="D177" s="25" t="s">
        <v>564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100</v>
      </c>
      <c r="K177" s="31">
        <f>557.8</f>
        <v>557.79999999999995</v>
      </c>
      <c r="L177" s="32" t="s">
        <v>904</v>
      </c>
      <c r="M177" s="31">
        <f>875</f>
        <v>875</v>
      </c>
      <c r="N177" s="32" t="s">
        <v>70</v>
      </c>
      <c r="O177" s="31">
        <f>535.2</f>
        <v>535.20000000000005</v>
      </c>
      <c r="P177" s="32" t="s">
        <v>819</v>
      </c>
      <c r="Q177" s="31">
        <f>603.7</f>
        <v>603.70000000000005</v>
      </c>
      <c r="R177" s="32" t="s">
        <v>818</v>
      </c>
      <c r="S177" s="33">
        <f>610.45</f>
        <v>610.45000000000005</v>
      </c>
      <c r="T177" s="30">
        <f>1309000</f>
        <v>1309000</v>
      </c>
      <c r="U177" s="30" t="str">
        <f>"－"</f>
        <v>－</v>
      </c>
      <c r="V177" s="30">
        <f>810505710</f>
        <v>810505710</v>
      </c>
      <c r="W177" s="30" t="str">
        <f>"－"</f>
        <v>－</v>
      </c>
      <c r="X177" s="34">
        <f>22</f>
        <v>22</v>
      </c>
    </row>
    <row r="178" spans="1:24" x14ac:dyDescent="0.15">
      <c r="A178" s="25" t="s">
        <v>933</v>
      </c>
      <c r="B178" s="25" t="s">
        <v>565</v>
      </c>
      <c r="C178" s="25" t="s">
        <v>566</v>
      </c>
      <c r="D178" s="25" t="s">
        <v>567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4599</f>
        <v>4599</v>
      </c>
      <c r="L178" s="32" t="s">
        <v>904</v>
      </c>
      <c r="M178" s="31">
        <f>5201</f>
        <v>5201</v>
      </c>
      <c r="N178" s="32" t="s">
        <v>70</v>
      </c>
      <c r="O178" s="31">
        <f>4558</f>
        <v>4558</v>
      </c>
      <c r="P178" s="32" t="s">
        <v>904</v>
      </c>
      <c r="Q178" s="31">
        <f>5089</f>
        <v>5089</v>
      </c>
      <c r="R178" s="32" t="s">
        <v>818</v>
      </c>
      <c r="S178" s="33">
        <f>4934.18</f>
        <v>4934.18</v>
      </c>
      <c r="T178" s="30">
        <f>68210</f>
        <v>68210</v>
      </c>
      <c r="U178" s="30" t="str">
        <f>"－"</f>
        <v>－</v>
      </c>
      <c r="V178" s="30">
        <f>338089990</f>
        <v>338089990</v>
      </c>
      <c r="W178" s="30" t="str">
        <f>"－"</f>
        <v>－</v>
      </c>
      <c r="X178" s="34">
        <f>22</f>
        <v>22</v>
      </c>
    </row>
    <row r="179" spans="1:24" x14ac:dyDescent="0.15">
      <c r="A179" s="25" t="s">
        <v>933</v>
      </c>
      <c r="B179" s="25" t="s">
        <v>568</v>
      </c>
      <c r="C179" s="25" t="s">
        <v>569</v>
      </c>
      <c r="D179" s="25" t="s">
        <v>570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2699.5</f>
        <v>2699.5</v>
      </c>
      <c r="L179" s="32" t="s">
        <v>904</v>
      </c>
      <c r="M179" s="31">
        <f>6152</f>
        <v>6152</v>
      </c>
      <c r="N179" s="32" t="s">
        <v>912</v>
      </c>
      <c r="O179" s="31">
        <f>2648</f>
        <v>2648</v>
      </c>
      <c r="P179" s="32" t="s">
        <v>904</v>
      </c>
      <c r="Q179" s="31">
        <f>3710</f>
        <v>3710</v>
      </c>
      <c r="R179" s="32" t="s">
        <v>818</v>
      </c>
      <c r="S179" s="33">
        <f>3694.11</f>
        <v>3694.11</v>
      </c>
      <c r="T179" s="30">
        <f>486220</f>
        <v>486220</v>
      </c>
      <c r="U179" s="30">
        <f>80</f>
        <v>80</v>
      </c>
      <c r="V179" s="30">
        <f>1933482005</f>
        <v>1933482005</v>
      </c>
      <c r="W179" s="30">
        <f>233155</f>
        <v>233155</v>
      </c>
      <c r="X179" s="34">
        <f>22</f>
        <v>22</v>
      </c>
    </row>
    <row r="180" spans="1:24" x14ac:dyDescent="0.15">
      <c r="A180" s="25" t="s">
        <v>933</v>
      </c>
      <c r="B180" s="25" t="s">
        <v>571</v>
      </c>
      <c r="C180" s="25" t="s">
        <v>572</v>
      </c>
      <c r="D180" s="25" t="s">
        <v>573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111.6</f>
        <v>111.6</v>
      </c>
      <c r="L180" s="32" t="s">
        <v>904</v>
      </c>
      <c r="M180" s="31">
        <f>205</f>
        <v>205</v>
      </c>
      <c r="N180" s="32" t="s">
        <v>70</v>
      </c>
      <c r="O180" s="31">
        <f>111.4</f>
        <v>111.4</v>
      </c>
      <c r="P180" s="32" t="s">
        <v>904</v>
      </c>
      <c r="Q180" s="31">
        <f>132.8</f>
        <v>132.80000000000001</v>
      </c>
      <c r="R180" s="32" t="s">
        <v>818</v>
      </c>
      <c r="S180" s="33">
        <f>140.78</f>
        <v>140.78</v>
      </c>
      <c r="T180" s="30">
        <f>76913500</f>
        <v>76913500</v>
      </c>
      <c r="U180" s="30" t="str">
        <f>"－"</f>
        <v>－</v>
      </c>
      <c r="V180" s="30">
        <f>11719535990</f>
        <v>11719535990</v>
      </c>
      <c r="W180" s="30" t="str">
        <f>"－"</f>
        <v>－</v>
      </c>
      <c r="X180" s="34">
        <f>22</f>
        <v>22</v>
      </c>
    </row>
    <row r="181" spans="1:24" x14ac:dyDescent="0.15">
      <c r="A181" s="25" t="s">
        <v>933</v>
      </c>
      <c r="B181" s="25" t="s">
        <v>574</v>
      </c>
      <c r="C181" s="25" t="s">
        <v>575</v>
      </c>
      <c r="D181" s="25" t="s">
        <v>576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100</v>
      </c>
      <c r="K181" s="31">
        <f>150</f>
        <v>150</v>
      </c>
      <c r="L181" s="32" t="s">
        <v>904</v>
      </c>
      <c r="M181" s="31">
        <f>192.2</f>
        <v>192.2</v>
      </c>
      <c r="N181" s="32" t="s">
        <v>70</v>
      </c>
      <c r="O181" s="31">
        <f>148</f>
        <v>148</v>
      </c>
      <c r="P181" s="32" t="s">
        <v>904</v>
      </c>
      <c r="Q181" s="31">
        <f>169.3</f>
        <v>169.3</v>
      </c>
      <c r="R181" s="32" t="s">
        <v>818</v>
      </c>
      <c r="S181" s="33">
        <f>165.7</f>
        <v>165.7</v>
      </c>
      <c r="T181" s="30">
        <f>8040400</f>
        <v>8040400</v>
      </c>
      <c r="U181" s="30" t="str">
        <f>"－"</f>
        <v>－</v>
      </c>
      <c r="V181" s="30">
        <f>1338146980</f>
        <v>1338146980</v>
      </c>
      <c r="W181" s="30" t="str">
        <f>"－"</f>
        <v>－</v>
      </c>
      <c r="X181" s="34">
        <f>22</f>
        <v>22</v>
      </c>
    </row>
    <row r="182" spans="1:24" x14ac:dyDescent="0.15">
      <c r="A182" s="25" t="s">
        <v>933</v>
      </c>
      <c r="B182" s="25" t="s">
        <v>577</v>
      </c>
      <c r="C182" s="25" t="s">
        <v>578</v>
      </c>
      <c r="D182" s="25" t="s">
        <v>579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3405</f>
        <v>3405</v>
      </c>
      <c r="L182" s="32" t="s">
        <v>904</v>
      </c>
      <c r="M182" s="31">
        <f>3804</f>
        <v>3804</v>
      </c>
      <c r="N182" s="32" t="s">
        <v>94</v>
      </c>
      <c r="O182" s="31">
        <f>3404</f>
        <v>3404</v>
      </c>
      <c r="P182" s="32" t="s">
        <v>904</v>
      </c>
      <c r="Q182" s="31">
        <f>3692</f>
        <v>3692</v>
      </c>
      <c r="R182" s="32" t="s">
        <v>818</v>
      </c>
      <c r="S182" s="33">
        <f>3625.82</f>
        <v>3625.82</v>
      </c>
      <c r="T182" s="30">
        <f>115060</f>
        <v>115060</v>
      </c>
      <c r="U182" s="30" t="str">
        <f>"－"</f>
        <v>－</v>
      </c>
      <c r="V182" s="30">
        <f>413372840</f>
        <v>413372840</v>
      </c>
      <c r="W182" s="30" t="str">
        <f>"－"</f>
        <v>－</v>
      </c>
      <c r="X182" s="34">
        <f>22</f>
        <v>22</v>
      </c>
    </row>
    <row r="183" spans="1:24" x14ac:dyDescent="0.15">
      <c r="A183" s="25" t="s">
        <v>933</v>
      </c>
      <c r="B183" s="25" t="s">
        <v>580</v>
      </c>
      <c r="C183" s="25" t="s">
        <v>581</v>
      </c>
      <c r="D183" s="25" t="s">
        <v>582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1878.5</f>
        <v>1878.5</v>
      </c>
      <c r="L183" s="32" t="s">
        <v>904</v>
      </c>
      <c r="M183" s="31">
        <f>1989</f>
        <v>1989</v>
      </c>
      <c r="N183" s="32" t="s">
        <v>934</v>
      </c>
      <c r="O183" s="31">
        <f>1751</f>
        <v>1751</v>
      </c>
      <c r="P183" s="32" t="s">
        <v>912</v>
      </c>
      <c r="Q183" s="31">
        <f>1962.5</f>
        <v>1962.5</v>
      </c>
      <c r="R183" s="32" t="s">
        <v>818</v>
      </c>
      <c r="S183" s="33">
        <f>1881.09</f>
        <v>1881.09</v>
      </c>
      <c r="T183" s="30">
        <f>201460</f>
        <v>201460</v>
      </c>
      <c r="U183" s="30" t="str">
        <f>"－"</f>
        <v>－</v>
      </c>
      <c r="V183" s="30">
        <f>372594965</f>
        <v>372594965</v>
      </c>
      <c r="W183" s="30" t="str">
        <f>"－"</f>
        <v>－</v>
      </c>
      <c r="X183" s="34">
        <f>22</f>
        <v>22</v>
      </c>
    </row>
    <row r="184" spans="1:24" x14ac:dyDescent="0.15">
      <c r="A184" s="25" t="s">
        <v>933</v>
      </c>
      <c r="B184" s="25" t="s">
        <v>583</v>
      </c>
      <c r="C184" s="25" t="s">
        <v>584</v>
      </c>
      <c r="D184" s="25" t="s">
        <v>585</v>
      </c>
      <c r="E184" s="26" t="s">
        <v>45</v>
      </c>
      <c r="F184" s="27" t="s">
        <v>45</v>
      </c>
      <c r="G184" s="28" t="s">
        <v>45</v>
      </c>
      <c r="H184" s="29"/>
      <c r="I184" s="29" t="s">
        <v>46</v>
      </c>
      <c r="J184" s="30">
        <v>10</v>
      </c>
      <c r="K184" s="31">
        <f>274.7</f>
        <v>274.7</v>
      </c>
      <c r="L184" s="32" t="s">
        <v>904</v>
      </c>
      <c r="M184" s="31">
        <f>357</f>
        <v>357</v>
      </c>
      <c r="N184" s="32" t="s">
        <v>820</v>
      </c>
      <c r="O184" s="31">
        <f>274.2</f>
        <v>274.2</v>
      </c>
      <c r="P184" s="32" t="s">
        <v>904</v>
      </c>
      <c r="Q184" s="31">
        <f>324.5</f>
        <v>324.5</v>
      </c>
      <c r="R184" s="32" t="s">
        <v>818</v>
      </c>
      <c r="S184" s="33">
        <f>319.89</f>
        <v>319.89</v>
      </c>
      <c r="T184" s="30">
        <f>157101520</f>
        <v>157101520</v>
      </c>
      <c r="U184" s="30">
        <f>98730</f>
        <v>98730</v>
      </c>
      <c r="V184" s="30">
        <f>50273120575</f>
        <v>50273120575</v>
      </c>
      <c r="W184" s="30">
        <f>30453668</f>
        <v>30453668</v>
      </c>
      <c r="X184" s="34">
        <f>22</f>
        <v>22</v>
      </c>
    </row>
    <row r="185" spans="1:24" x14ac:dyDescent="0.15">
      <c r="A185" s="25" t="s">
        <v>933</v>
      </c>
      <c r="B185" s="25" t="s">
        <v>586</v>
      </c>
      <c r="C185" s="25" t="s">
        <v>587</v>
      </c>
      <c r="D185" s="25" t="s">
        <v>588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7541</f>
        <v>7541</v>
      </c>
      <c r="L185" s="32" t="s">
        <v>904</v>
      </c>
      <c r="M185" s="31">
        <f>7613</f>
        <v>7613</v>
      </c>
      <c r="N185" s="32" t="s">
        <v>904</v>
      </c>
      <c r="O185" s="31">
        <f>5100</f>
        <v>5100</v>
      </c>
      <c r="P185" s="32" t="s">
        <v>915</v>
      </c>
      <c r="Q185" s="31">
        <f>7180</f>
        <v>7180</v>
      </c>
      <c r="R185" s="32" t="s">
        <v>818</v>
      </c>
      <c r="S185" s="33">
        <f>6705.95</f>
        <v>6705.95</v>
      </c>
      <c r="T185" s="30">
        <f>79616</f>
        <v>79616</v>
      </c>
      <c r="U185" s="30">
        <f>8</f>
        <v>8</v>
      </c>
      <c r="V185" s="30">
        <f>517205869</f>
        <v>517205869</v>
      </c>
      <c r="W185" s="30">
        <f>53270</f>
        <v>53270</v>
      </c>
      <c r="X185" s="34">
        <f>22</f>
        <v>22</v>
      </c>
    </row>
    <row r="186" spans="1:24" x14ac:dyDescent="0.15">
      <c r="A186" s="25" t="s">
        <v>933</v>
      </c>
      <c r="B186" s="25" t="s">
        <v>590</v>
      </c>
      <c r="C186" s="25" t="s">
        <v>591</v>
      </c>
      <c r="D186" s="25" t="s">
        <v>592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6478</f>
        <v>6478</v>
      </c>
      <c r="L186" s="32" t="s">
        <v>904</v>
      </c>
      <c r="M186" s="31">
        <f>8211</f>
        <v>8211</v>
      </c>
      <c r="N186" s="32" t="s">
        <v>915</v>
      </c>
      <c r="O186" s="31">
        <f>6473</f>
        <v>6473</v>
      </c>
      <c r="P186" s="32" t="s">
        <v>909</v>
      </c>
      <c r="Q186" s="31">
        <f>6881</f>
        <v>6881</v>
      </c>
      <c r="R186" s="32" t="s">
        <v>818</v>
      </c>
      <c r="S186" s="33">
        <f>7053.64</f>
        <v>7053.64</v>
      </c>
      <c r="T186" s="30">
        <f>17753</f>
        <v>17753</v>
      </c>
      <c r="U186" s="30" t="str">
        <f>"－"</f>
        <v>－</v>
      </c>
      <c r="V186" s="30">
        <f>125619234</f>
        <v>125619234</v>
      </c>
      <c r="W186" s="30" t="str">
        <f>"－"</f>
        <v>－</v>
      </c>
      <c r="X186" s="34">
        <f>22</f>
        <v>22</v>
      </c>
    </row>
    <row r="187" spans="1:24" x14ac:dyDescent="0.15">
      <c r="A187" s="25" t="s">
        <v>933</v>
      </c>
      <c r="B187" s="25" t="s">
        <v>593</v>
      </c>
      <c r="C187" s="25" t="s">
        <v>594</v>
      </c>
      <c r="D187" s="25" t="s">
        <v>595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13600</f>
        <v>13600</v>
      </c>
      <c r="L187" s="32" t="s">
        <v>904</v>
      </c>
      <c r="M187" s="31">
        <f>14740</f>
        <v>14740</v>
      </c>
      <c r="N187" s="32" t="s">
        <v>934</v>
      </c>
      <c r="O187" s="31">
        <f>12135</f>
        <v>12135</v>
      </c>
      <c r="P187" s="32" t="s">
        <v>911</v>
      </c>
      <c r="Q187" s="31">
        <f>14420</f>
        <v>14420</v>
      </c>
      <c r="R187" s="32" t="s">
        <v>818</v>
      </c>
      <c r="S187" s="33">
        <f>13470</f>
        <v>13470</v>
      </c>
      <c r="T187" s="30">
        <f>1583</f>
        <v>1583</v>
      </c>
      <c r="U187" s="30" t="str">
        <f>"－"</f>
        <v>－</v>
      </c>
      <c r="V187" s="30">
        <f>20802295</f>
        <v>20802295</v>
      </c>
      <c r="W187" s="30" t="str">
        <f>"－"</f>
        <v>－</v>
      </c>
      <c r="X187" s="34">
        <f>19</f>
        <v>19</v>
      </c>
    </row>
    <row r="188" spans="1:24" x14ac:dyDescent="0.15">
      <c r="A188" s="25" t="s">
        <v>933</v>
      </c>
      <c r="B188" s="25" t="s">
        <v>596</v>
      </c>
      <c r="C188" s="25" t="s">
        <v>597</v>
      </c>
      <c r="D188" s="25" t="s">
        <v>598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6669</f>
        <v>6669</v>
      </c>
      <c r="L188" s="32" t="s">
        <v>904</v>
      </c>
      <c r="M188" s="31">
        <f>6990</f>
        <v>6990</v>
      </c>
      <c r="N188" s="32" t="s">
        <v>936</v>
      </c>
      <c r="O188" s="31">
        <f>6580</f>
        <v>6580</v>
      </c>
      <c r="P188" s="32" t="s">
        <v>904</v>
      </c>
      <c r="Q188" s="31">
        <f>6896</f>
        <v>6896</v>
      </c>
      <c r="R188" s="32" t="s">
        <v>818</v>
      </c>
      <c r="S188" s="33">
        <f>6726.95</f>
        <v>6726.95</v>
      </c>
      <c r="T188" s="30">
        <f>23030</f>
        <v>23030</v>
      </c>
      <c r="U188" s="30" t="str">
        <f>"－"</f>
        <v>－</v>
      </c>
      <c r="V188" s="30">
        <f>154645422</f>
        <v>154645422</v>
      </c>
      <c r="W188" s="30" t="str">
        <f>"－"</f>
        <v>－</v>
      </c>
      <c r="X188" s="34">
        <f>22</f>
        <v>22</v>
      </c>
    </row>
    <row r="189" spans="1:24" x14ac:dyDescent="0.15">
      <c r="A189" s="25" t="s">
        <v>933</v>
      </c>
      <c r="B189" s="25" t="s">
        <v>599</v>
      </c>
      <c r="C189" s="25" t="s">
        <v>600</v>
      </c>
      <c r="D189" s="25" t="s">
        <v>601</v>
      </c>
      <c r="E189" s="26" t="s">
        <v>937</v>
      </c>
      <c r="F189" s="27" t="s">
        <v>938</v>
      </c>
      <c r="G189" s="28" t="s">
        <v>944</v>
      </c>
      <c r="H189" s="29" t="s">
        <v>910</v>
      </c>
      <c r="I189" s="29"/>
      <c r="J189" s="30">
        <v>1</v>
      </c>
      <c r="K189" s="31">
        <f>103</f>
        <v>103</v>
      </c>
      <c r="L189" s="32" t="s">
        <v>904</v>
      </c>
      <c r="M189" s="31">
        <f>124</f>
        <v>124</v>
      </c>
      <c r="N189" s="32" t="s">
        <v>912</v>
      </c>
      <c r="O189" s="31">
        <f>101</f>
        <v>101</v>
      </c>
      <c r="P189" s="32" t="s">
        <v>904</v>
      </c>
      <c r="Q189" s="31">
        <f>114</f>
        <v>114</v>
      </c>
      <c r="R189" s="32" t="s">
        <v>906</v>
      </c>
      <c r="S189" s="33">
        <f>114.33</f>
        <v>114.33</v>
      </c>
      <c r="T189" s="30">
        <f>10625754</f>
        <v>10625754</v>
      </c>
      <c r="U189" s="30" t="str">
        <f>"－"</f>
        <v>－</v>
      </c>
      <c r="V189" s="30">
        <f>1223928614</f>
        <v>1223928614</v>
      </c>
      <c r="W189" s="30" t="str">
        <f>"－"</f>
        <v>－</v>
      </c>
      <c r="X189" s="34">
        <f>12</f>
        <v>12</v>
      </c>
    </row>
    <row r="190" spans="1:24" x14ac:dyDescent="0.15">
      <c r="A190" s="25" t="s">
        <v>933</v>
      </c>
      <c r="B190" s="25" t="s">
        <v>602</v>
      </c>
      <c r="C190" s="25" t="s">
        <v>603</v>
      </c>
      <c r="D190" s="25" t="s">
        <v>604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21525</f>
        <v>21525</v>
      </c>
      <c r="L190" s="32" t="s">
        <v>904</v>
      </c>
      <c r="M190" s="31">
        <f>25575</f>
        <v>25575</v>
      </c>
      <c r="N190" s="32" t="s">
        <v>911</v>
      </c>
      <c r="O190" s="31">
        <f>21220</f>
        <v>21220</v>
      </c>
      <c r="P190" s="32" t="s">
        <v>904</v>
      </c>
      <c r="Q190" s="31">
        <f>24235</f>
        <v>24235</v>
      </c>
      <c r="R190" s="32" t="s">
        <v>818</v>
      </c>
      <c r="S190" s="33">
        <f>23582.05</f>
        <v>23582.05</v>
      </c>
      <c r="T190" s="30">
        <f>116253</f>
        <v>116253</v>
      </c>
      <c r="U190" s="30">
        <f>6</f>
        <v>6</v>
      </c>
      <c r="V190" s="30">
        <f>2750123430</f>
        <v>2750123430</v>
      </c>
      <c r="W190" s="30">
        <f>135840</f>
        <v>135840</v>
      </c>
      <c r="X190" s="34">
        <f>22</f>
        <v>22</v>
      </c>
    </row>
    <row r="191" spans="1:24" x14ac:dyDescent="0.15">
      <c r="A191" s="25" t="s">
        <v>933</v>
      </c>
      <c r="B191" s="25" t="s">
        <v>605</v>
      </c>
      <c r="C191" s="25" t="s">
        <v>606</v>
      </c>
      <c r="D191" s="25" t="s">
        <v>607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4970</f>
        <v>4970</v>
      </c>
      <c r="L191" s="32" t="s">
        <v>904</v>
      </c>
      <c r="M191" s="31">
        <f>4970</f>
        <v>4970</v>
      </c>
      <c r="N191" s="32" t="s">
        <v>904</v>
      </c>
      <c r="O191" s="31">
        <f>4515</f>
        <v>4515</v>
      </c>
      <c r="P191" s="32" t="s">
        <v>911</v>
      </c>
      <c r="Q191" s="31">
        <f>4640</f>
        <v>4640</v>
      </c>
      <c r="R191" s="32" t="s">
        <v>818</v>
      </c>
      <c r="S191" s="33">
        <f>4720</f>
        <v>4720</v>
      </c>
      <c r="T191" s="30">
        <f>38203</f>
        <v>38203</v>
      </c>
      <c r="U191" s="30" t="str">
        <f>"－"</f>
        <v>－</v>
      </c>
      <c r="V191" s="30">
        <f>179863460</f>
        <v>179863460</v>
      </c>
      <c r="W191" s="30" t="str">
        <f>"－"</f>
        <v>－</v>
      </c>
      <c r="X191" s="34">
        <f>22</f>
        <v>22</v>
      </c>
    </row>
    <row r="192" spans="1:24" x14ac:dyDescent="0.15">
      <c r="A192" s="25" t="s">
        <v>933</v>
      </c>
      <c r="B192" s="25" t="s">
        <v>608</v>
      </c>
      <c r="C192" s="25" t="s">
        <v>609</v>
      </c>
      <c r="D192" s="25" t="s">
        <v>610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1101</f>
        <v>1101</v>
      </c>
      <c r="L192" s="32" t="s">
        <v>904</v>
      </c>
      <c r="M192" s="31">
        <f>1770</f>
        <v>1770</v>
      </c>
      <c r="N192" s="32" t="s">
        <v>911</v>
      </c>
      <c r="O192" s="31">
        <f>1087</f>
        <v>1087</v>
      </c>
      <c r="P192" s="32" t="s">
        <v>904</v>
      </c>
      <c r="Q192" s="31">
        <f>1396</f>
        <v>1396</v>
      </c>
      <c r="R192" s="32" t="s">
        <v>818</v>
      </c>
      <c r="S192" s="33">
        <f>1380.5</f>
        <v>1380.5</v>
      </c>
      <c r="T192" s="30">
        <f>223722588</f>
        <v>223722588</v>
      </c>
      <c r="U192" s="30">
        <f>1000025</f>
        <v>1000025</v>
      </c>
      <c r="V192" s="30">
        <f>310248059005</f>
        <v>310248059005</v>
      </c>
      <c r="W192" s="30">
        <f>1411334579</f>
        <v>1411334579</v>
      </c>
      <c r="X192" s="34">
        <f>22</f>
        <v>22</v>
      </c>
    </row>
    <row r="193" spans="1:24" x14ac:dyDescent="0.15">
      <c r="A193" s="25" t="s">
        <v>933</v>
      </c>
      <c r="B193" s="25" t="s">
        <v>611</v>
      </c>
      <c r="C193" s="25" t="s">
        <v>612</v>
      </c>
      <c r="D193" s="25" t="s">
        <v>613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2188</f>
        <v>2188</v>
      </c>
      <c r="L193" s="32" t="s">
        <v>904</v>
      </c>
      <c r="M193" s="31">
        <f>2188</f>
        <v>2188</v>
      </c>
      <c r="N193" s="32" t="s">
        <v>904</v>
      </c>
      <c r="O193" s="31">
        <f>1604</f>
        <v>1604</v>
      </c>
      <c r="P193" s="32" t="s">
        <v>820</v>
      </c>
      <c r="Q193" s="31">
        <f>1725</f>
        <v>1725</v>
      </c>
      <c r="R193" s="32" t="s">
        <v>818</v>
      </c>
      <c r="S193" s="33">
        <f>1834.14</f>
        <v>1834.14</v>
      </c>
      <c r="T193" s="30">
        <f>9352796</f>
        <v>9352796</v>
      </c>
      <c r="U193" s="30" t="str">
        <f>"－"</f>
        <v>－</v>
      </c>
      <c r="V193" s="30">
        <f>16968803351</f>
        <v>16968803351</v>
      </c>
      <c r="W193" s="30" t="str">
        <f>"－"</f>
        <v>－</v>
      </c>
      <c r="X193" s="34">
        <f>22</f>
        <v>22</v>
      </c>
    </row>
    <row r="194" spans="1:24" x14ac:dyDescent="0.15">
      <c r="A194" s="25" t="s">
        <v>933</v>
      </c>
      <c r="B194" s="25" t="s">
        <v>614</v>
      </c>
      <c r="C194" s="25" t="s">
        <v>615</v>
      </c>
      <c r="D194" s="25" t="s">
        <v>616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29485</f>
        <v>29485</v>
      </c>
      <c r="L194" s="32" t="s">
        <v>904</v>
      </c>
      <c r="M194" s="31">
        <f>31650</f>
        <v>31650</v>
      </c>
      <c r="N194" s="32" t="s">
        <v>818</v>
      </c>
      <c r="O194" s="31">
        <f>27200</f>
        <v>27200</v>
      </c>
      <c r="P194" s="32" t="s">
        <v>912</v>
      </c>
      <c r="Q194" s="31">
        <f>31400</f>
        <v>31400</v>
      </c>
      <c r="R194" s="32" t="s">
        <v>818</v>
      </c>
      <c r="S194" s="33">
        <f>29362.73</f>
        <v>29362.73</v>
      </c>
      <c r="T194" s="30">
        <f>137564</f>
        <v>137564</v>
      </c>
      <c r="U194" s="30">
        <f>20</f>
        <v>20</v>
      </c>
      <c r="V194" s="30">
        <f>4012314230</f>
        <v>4012314230</v>
      </c>
      <c r="W194" s="30">
        <f>569930</f>
        <v>569930</v>
      </c>
      <c r="X194" s="34">
        <f>22</f>
        <v>22</v>
      </c>
    </row>
    <row r="195" spans="1:24" x14ac:dyDescent="0.15">
      <c r="A195" s="25" t="s">
        <v>933</v>
      </c>
      <c r="B195" s="25" t="s">
        <v>617</v>
      </c>
      <c r="C195" s="25" t="s">
        <v>618</v>
      </c>
      <c r="D195" s="25" t="s">
        <v>619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2930</f>
        <v>2930</v>
      </c>
      <c r="L195" s="32" t="s">
        <v>904</v>
      </c>
      <c r="M195" s="31">
        <f>3080</f>
        <v>3080</v>
      </c>
      <c r="N195" s="32" t="s">
        <v>912</v>
      </c>
      <c r="O195" s="31">
        <f>2796</f>
        <v>2796</v>
      </c>
      <c r="P195" s="32" t="s">
        <v>934</v>
      </c>
      <c r="Q195" s="31">
        <f>2804</f>
        <v>2804</v>
      </c>
      <c r="R195" s="32" t="s">
        <v>818</v>
      </c>
      <c r="S195" s="33">
        <f>2930.32</f>
        <v>2930.32</v>
      </c>
      <c r="T195" s="30">
        <f>1047146</f>
        <v>1047146</v>
      </c>
      <c r="U195" s="30">
        <f>75008</f>
        <v>75008</v>
      </c>
      <c r="V195" s="30">
        <f>3089372580</f>
        <v>3089372580</v>
      </c>
      <c r="W195" s="30">
        <f>213023192</f>
        <v>213023192</v>
      </c>
      <c r="X195" s="34">
        <f>22</f>
        <v>22</v>
      </c>
    </row>
    <row r="196" spans="1:24" x14ac:dyDescent="0.15">
      <c r="A196" s="25" t="s">
        <v>933</v>
      </c>
      <c r="B196" s="25" t="s">
        <v>620</v>
      </c>
      <c r="C196" s="25" t="s">
        <v>621</v>
      </c>
      <c r="D196" s="25" t="s">
        <v>622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8047</f>
        <v>8047</v>
      </c>
      <c r="L196" s="32" t="s">
        <v>904</v>
      </c>
      <c r="M196" s="31">
        <f>8522</f>
        <v>8522</v>
      </c>
      <c r="N196" s="32" t="s">
        <v>934</v>
      </c>
      <c r="O196" s="31">
        <f>7070</f>
        <v>7070</v>
      </c>
      <c r="P196" s="32" t="s">
        <v>915</v>
      </c>
      <c r="Q196" s="31">
        <f>8433</f>
        <v>8433</v>
      </c>
      <c r="R196" s="32" t="s">
        <v>818</v>
      </c>
      <c r="S196" s="33">
        <f>7828.55</f>
        <v>7828.55</v>
      </c>
      <c r="T196" s="30">
        <f>182219</f>
        <v>182219</v>
      </c>
      <c r="U196" s="30" t="str">
        <f>"－"</f>
        <v>－</v>
      </c>
      <c r="V196" s="30">
        <f>1444931045</f>
        <v>1444931045</v>
      </c>
      <c r="W196" s="30" t="str">
        <f>"－"</f>
        <v>－</v>
      </c>
      <c r="X196" s="34">
        <f>22</f>
        <v>22</v>
      </c>
    </row>
    <row r="197" spans="1:24" x14ac:dyDescent="0.15">
      <c r="A197" s="25" t="s">
        <v>933</v>
      </c>
      <c r="B197" s="25" t="s">
        <v>623</v>
      </c>
      <c r="C197" s="25" t="s">
        <v>624</v>
      </c>
      <c r="D197" s="25" t="s">
        <v>625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14555</f>
        <v>14555</v>
      </c>
      <c r="L197" s="32" t="s">
        <v>904</v>
      </c>
      <c r="M197" s="31">
        <f>16000</f>
        <v>16000</v>
      </c>
      <c r="N197" s="32" t="s">
        <v>94</v>
      </c>
      <c r="O197" s="31">
        <f>13905</f>
        <v>13905</v>
      </c>
      <c r="P197" s="32" t="s">
        <v>912</v>
      </c>
      <c r="Q197" s="31">
        <f>15900</f>
        <v>15900</v>
      </c>
      <c r="R197" s="32" t="s">
        <v>818</v>
      </c>
      <c r="S197" s="33">
        <f>14868.68</f>
        <v>14868.68</v>
      </c>
      <c r="T197" s="30">
        <f>479</f>
        <v>479</v>
      </c>
      <c r="U197" s="30" t="str">
        <f>"－"</f>
        <v>－</v>
      </c>
      <c r="V197" s="30">
        <f>7194015</f>
        <v>7194015</v>
      </c>
      <c r="W197" s="30" t="str">
        <f>"－"</f>
        <v>－</v>
      </c>
      <c r="X197" s="34">
        <f>19</f>
        <v>19</v>
      </c>
    </row>
    <row r="198" spans="1:24" x14ac:dyDescent="0.15">
      <c r="A198" s="25" t="s">
        <v>933</v>
      </c>
      <c r="B198" s="25" t="s">
        <v>626</v>
      </c>
      <c r="C198" s="25" t="s">
        <v>627</v>
      </c>
      <c r="D198" s="25" t="s">
        <v>628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19700</f>
        <v>19700</v>
      </c>
      <c r="L198" s="32" t="s">
        <v>904</v>
      </c>
      <c r="M198" s="31">
        <f>22215</f>
        <v>22215</v>
      </c>
      <c r="N198" s="32" t="s">
        <v>934</v>
      </c>
      <c r="O198" s="31">
        <f>19475</f>
        <v>19475</v>
      </c>
      <c r="P198" s="32" t="s">
        <v>909</v>
      </c>
      <c r="Q198" s="31">
        <f>21860</f>
        <v>21860</v>
      </c>
      <c r="R198" s="32" t="s">
        <v>818</v>
      </c>
      <c r="S198" s="33">
        <f>20519.77</f>
        <v>20519.77</v>
      </c>
      <c r="T198" s="30">
        <f>49456</f>
        <v>49456</v>
      </c>
      <c r="U198" s="30">
        <f>18859</f>
        <v>18859</v>
      </c>
      <c r="V198" s="30">
        <f>1041327773</f>
        <v>1041327773</v>
      </c>
      <c r="W198" s="30">
        <f>400017068</f>
        <v>400017068</v>
      </c>
      <c r="X198" s="34">
        <f>22</f>
        <v>22</v>
      </c>
    </row>
    <row r="199" spans="1:24" x14ac:dyDescent="0.15">
      <c r="A199" s="25" t="s">
        <v>933</v>
      </c>
      <c r="B199" s="25" t="s">
        <v>629</v>
      </c>
      <c r="C199" s="25" t="s">
        <v>630</v>
      </c>
      <c r="D199" s="25" t="s">
        <v>631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13995</f>
        <v>13995</v>
      </c>
      <c r="L199" s="32" t="s">
        <v>904</v>
      </c>
      <c r="M199" s="31">
        <f>15800</f>
        <v>15800</v>
      </c>
      <c r="N199" s="32" t="s">
        <v>936</v>
      </c>
      <c r="O199" s="31">
        <f>13490</f>
        <v>13490</v>
      </c>
      <c r="P199" s="32" t="s">
        <v>912</v>
      </c>
      <c r="Q199" s="31">
        <f>15500</f>
        <v>15500</v>
      </c>
      <c r="R199" s="32" t="s">
        <v>818</v>
      </c>
      <c r="S199" s="33">
        <f>14490.25</f>
        <v>14490.25</v>
      </c>
      <c r="T199" s="30">
        <f>1142</f>
        <v>1142</v>
      </c>
      <c r="U199" s="30" t="str">
        <f>"－"</f>
        <v>－</v>
      </c>
      <c r="V199" s="30">
        <f>16228575</f>
        <v>16228575</v>
      </c>
      <c r="W199" s="30" t="str">
        <f>"－"</f>
        <v>－</v>
      </c>
      <c r="X199" s="34">
        <f>20</f>
        <v>20</v>
      </c>
    </row>
    <row r="200" spans="1:24" x14ac:dyDescent="0.15">
      <c r="A200" s="25" t="s">
        <v>933</v>
      </c>
      <c r="B200" s="25" t="s">
        <v>632</v>
      </c>
      <c r="C200" s="25" t="s">
        <v>633</v>
      </c>
      <c r="D200" s="25" t="s">
        <v>634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16800</f>
        <v>16800</v>
      </c>
      <c r="L200" s="32" t="s">
        <v>904</v>
      </c>
      <c r="M200" s="31">
        <f>18805</f>
        <v>18805</v>
      </c>
      <c r="N200" s="32" t="s">
        <v>934</v>
      </c>
      <c r="O200" s="31">
        <f>13365</f>
        <v>13365</v>
      </c>
      <c r="P200" s="32" t="s">
        <v>912</v>
      </c>
      <c r="Q200" s="31">
        <f>18550</f>
        <v>18550</v>
      </c>
      <c r="R200" s="32" t="s">
        <v>818</v>
      </c>
      <c r="S200" s="33">
        <f>16645</f>
        <v>16645</v>
      </c>
      <c r="T200" s="30">
        <f>65602</f>
        <v>65602</v>
      </c>
      <c r="U200" s="30">
        <f>14</f>
        <v>14</v>
      </c>
      <c r="V200" s="30">
        <f>1075586725</f>
        <v>1075586725</v>
      </c>
      <c r="W200" s="30">
        <f>223135</f>
        <v>223135</v>
      </c>
      <c r="X200" s="34">
        <f>22</f>
        <v>22</v>
      </c>
    </row>
    <row r="201" spans="1:24" x14ac:dyDescent="0.15">
      <c r="A201" s="25" t="s">
        <v>933</v>
      </c>
      <c r="B201" s="25" t="s">
        <v>635</v>
      </c>
      <c r="C201" s="25" t="s">
        <v>636</v>
      </c>
      <c r="D201" s="25" t="s">
        <v>637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4065</f>
        <v>4065</v>
      </c>
      <c r="L201" s="32" t="s">
        <v>904</v>
      </c>
      <c r="M201" s="31">
        <f>4485</f>
        <v>4485</v>
      </c>
      <c r="N201" s="32" t="s">
        <v>912</v>
      </c>
      <c r="O201" s="31">
        <f>4010</f>
        <v>4010</v>
      </c>
      <c r="P201" s="32" t="s">
        <v>814</v>
      </c>
      <c r="Q201" s="31">
        <f>4240</f>
        <v>4240</v>
      </c>
      <c r="R201" s="32" t="s">
        <v>818</v>
      </c>
      <c r="S201" s="33">
        <f>4213.86</f>
        <v>4213.8599999999997</v>
      </c>
      <c r="T201" s="30">
        <f>21076</f>
        <v>21076</v>
      </c>
      <c r="U201" s="30" t="str">
        <f>"－"</f>
        <v>－</v>
      </c>
      <c r="V201" s="30">
        <f>87898290</f>
        <v>87898290</v>
      </c>
      <c r="W201" s="30" t="str">
        <f>"－"</f>
        <v>－</v>
      </c>
      <c r="X201" s="34">
        <f>22</f>
        <v>22</v>
      </c>
    </row>
    <row r="202" spans="1:24" x14ac:dyDescent="0.15">
      <c r="A202" s="25" t="s">
        <v>933</v>
      </c>
      <c r="B202" s="25" t="s">
        <v>638</v>
      </c>
      <c r="C202" s="25" t="s">
        <v>639</v>
      </c>
      <c r="D202" s="25" t="s">
        <v>640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11895</f>
        <v>11895</v>
      </c>
      <c r="L202" s="32" t="s">
        <v>904</v>
      </c>
      <c r="M202" s="31">
        <f>13680</f>
        <v>13680</v>
      </c>
      <c r="N202" s="32" t="s">
        <v>936</v>
      </c>
      <c r="O202" s="31">
        <f>11475</f>
        <v>11475</v>
      </c>
      <c r="P202" s="32" t="s">
        <v>912</v>
      </c>
      <c r="Q202" s="31">
        <f>13385</f>
        <v>13385</v>
      </c>
      <c r="R202" s="32" t="s">
        <v>818</v>
      </c>
      <c r="S202" s="33">
        <f>12574.33</f>
        <v>12574.33</v>
      </c>
      <c r="T202" s="30">
        <f>2024</f>
        <v>2024</v>
      </c>
      <c r="U202" s="30" t="str">
        <f>"－"</f>
        <v>－</v>
      </c>
      <c r="V202" s="30">
        <f>25442530</f>
        <v>25442530</v>
      </c>
      <c r="W202" s="30" t="str">
        <f>"－"</f>
        <v>－</v>
      </c>
      <c r="X202" s="34">
        <f>15</f>
        <v>15</v>
      </c>
    </row>
    <row r="203" spans="1:24" x14ac:dyDescent="0.15">
      <c r="A203" s="25" t="s">
        <v>933</v>
      </c>
      <c r="B203" s="25" t="s">
        <v>641</v>
      </c>
      <c r="C203" s="25" t="s">
        <v>642</v>
      </c>
      <c r="D203" s="25" t="s">
        <v>643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11595</f>
        <v>11595</v>
      </c>
      <c r="L203" s="32" t="s">
        <v>70</v>
      </c>
      <c r="M203" s="31">
        <f>12420</f>
        <v>12420</v>
      </c>
      <c r="N203" s="32" t="s">
        <v>820</v>
      </c>
      <c r="O203" s="31">
        <f>11365</f>
        <v>11365</v>
      </c>
      <c r="P203" s="32" t="s">
        <v>912</v>
      </c>
      <c r="Q203" s="31">
        <f>12295</f>
        <v>12295</v>
      </c>
      <c r="R203" s="32" t="s">
        <v>818</v>
      </c>
      <c r="S203" s="33">
        <f>11918.75</f>
        <v>11918.75</v>
      </c>
      <c r="T203" s="30">
        <f>13</f>
        <v>13</v>
      </c>
      <c r="U203" s="30" t="str">
        <f>"－"</f>
        <v>－</v>
      </c>
      <c r="V203" s="30">
        <f>155110</f>
        <v>155110</v>
      </c>
      <c r="W203" s="30" t="str">
        <f>"－"</f>
        <v>－</v>
      </c>
      <c r="X203" s="34">
        <f>4</f>
        <v>4</v>
      </c>
    </row>
    <row r="204" spans="1:24" x14ac:dyDescent="0.15">
      <c r="A204" s="25" t="s">
        <v>933</v>
      </c>
      <c r="B204" s="25" t="s">
        <v>644</v>
      </c>
      <c r="C204" s="25" t="s">
        <v>645</v>
      </c>
      <c r="D204" s="25" t="s">
        <v>646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13750</f>
        <v>13750</v>
      </c>
      <c r="L204" s="32" t="s">
        <v>811</v>
      </c>
      <c r="M204" s="31">
        <f>15660</f>
        <v>15660</v>
      </c>
      <c r="N204" s="32" t="s">
        <v>936</v>
      </c>
      <c r="O204" s="31">
        <f>13750</f>
        <v>13750</v>
      </c>
      <c r="P204" s="32" t="s">
        <v>811</v>
      </c>
      <c r="Q204" s="31">
        <f>15260</f>
        <v>15260</v>
      </c>
      <c r="R204" s="32" t="s">
        <v>818</v>
      </c>
      <c r="S204" s="33">
        <f>14991.67</f>
        <v>14991.67</v>
      </c>
      <c r="T204" s="30">
        <f>10364</f>
        <v>10364</v>
      </c>
      <c r="U204" s="30">
        <f>9883</f>
        <v>9883</v>
      </c>
      <c r="V204" s="30">
        <f>157378816</f>
        <v>157378816</v>
      </c>
      <c r="W204" s="30">
        <f>149994291</f>
        <v>149994291</v>
      </c>
      <c r="X204" s="34">
        <f>6</f>
        <v>6</v>
      </c>
    </row>
    <row r="205" spans="1:24" x14ac:dyDescent="0.15">
      <c r="A205" s="25" t="s">
        <v>933</v>
      </c>
      <c r="B205" s="25" t="s">
        <v>647</v>
      </c>
      <c r="C205" s="25" t="s">
        <v>648</v>
      </c>
      <c r="D205" s="25" t="s">
        <v>649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 t="str">
        <f>"－"</f>
        <v>－</v>
      </c>
      <c r="L205" s="32"/>
      <c r="M205" s="31" t="str">
        <f>"－"</f>
        <v>－</v>
      </c>
      <c r="N205" s="32"/>
      <c r="O205" s="31" t="str">
        <f>"－"</f>
        <v>－</v>
      </c>
      <c r="P205" s="32"/>
      <c r="Q205" s="31" t="str">
        <f>"－"</f>
        <v>－</v>
      </c>
      <c r="R205" s="32"/>
      <c r="S205" s="33" t="str">
        <f t="shared" ref="S205:X205" si="4">"－"</f>
        <v>－</v>
      </c>
      <c r="T205" s="30" t="str">
        <f t="shared" si="4"/>
        <v>－</v>
      </c>
      <c r="U205" s="30" t="str">
        <f t="shared" si="4"/>
        <v>－</v>
      </c>
      <c r="V205" s="30" t="str">
        <f t="shared" si="4"/>
        <v>－</v>
      </c>
      <c r="W205" s="30" t="str">
        <f t="shared" si="4"/>
        <v>－</v>
      </c>
      <c r="X205" s="34" t="str">
        <f t="shared" si="4"/>
        <v>－</v>
      </c>
    </row>
    <row r="206" spans="1:24" x14ac:dyDescent="0.15">
      <c r="A206" s="25" t="s">
        <v>933</v>
      </c>
      <c r="B206" s="25" t="s">
        <v>650</v>
      </c>
      <c r="C206" s="25" t="s">
        <v>651</v>
      </c>
      <c r="D206" s="25" t="s">
        <v>652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12405</f>
        <v>12405</v>
      </c>
      <c r="L206" s="32" t="s">
        <v>904</v>
      </c>
      <c r="M206" s="31">
        <f>13090</f>
        <v>13090</v>
      </c>
      <c r="N206" s="32" t="s">
        <v>934</v>
      </c>
      <c r="O206" s="31">
        <f>11575</f>
        <v>11575</v>
      </c>
      <c r="P206" s="32" t="s">
        <v>912</v>
      </c>
      <c r="Q206" s="31">
        <f>12895</f>
        <v>12895</v>
      </c>
      <c r="R206" s="32" t="s">
        <v>818</v>
      </c>
      <c r="S206" s="33">
        <f>12429.67</f>
        <v>12429.67</v>
      </c>
      <c r="T206" s="30">
        <f>2409</f>
        <v>2409</v>
      </c>
      <c r="U206" s="30" t="str">
        <f>"－"</f>
        <v>－</v>
      </c>
      <c r="V206" s="30">
        <f>29357170</f>
        <v>29357170</v>
      </c>
      <c r="W206" s="30" t="str">
        <f>"－"</f>
        <v>－</v>
      </c>
      <c r="X206" s="34">
        <f>15</f>
        <v>15</v>
      </c>
    </row>
    <row r="207" spans="1:24" x14ac:dyDescent="0.15">
      <c r="A207" s="25" t="s">
        <v>933</v>
      </c>
      <c r="B207" s="25" t="s">
        <v>653</v>
      </c>
      <c r="C207" s="25" t="s">
        <v>654</v>
      </c>
      <c r="D207" s="25" t="s">
        <v>655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13555</f>
        <v>13555</v>
      </c>
      <c r="L207" s="32" t="s">
        <v>905</v>
      </c>
      <c r="M207" s="31">
        <f>14720</f>
        <v>14720</v>
      </c>
      <c r="N207" s="32" t="s">
        <v>908</v>
      </c>
      <c r="O207" s="31">
        <f>13555</f>
        <v>13555</v>
      </c>
      <c r="P207" s="32" t="s">
        <v>905</v>
      </c>
      <c r="Q207" s="31">
        <f>14720</f>
        <v>14720</v>
      </c>
      <c r="R207" s="32" t="s">
        <v>908</v>
      </c>
      <c r="S207" s="33">
        <f>14137.5</f>
        <v>14137.5</v>
      </c>
      <c r="T207" s="30">
        <f>16</f>
        <v>16</v>
      </c>
      <c r="U207" s="30" t="str">
        <f>"－"</f>
        <v>－</v>
      </c>
      <c r="V207" s="30">
        <f>223870</f>
        <v>223870</v>
      </c>
      <c r="W207" s="30" t="str">
        <f>"－"</f>
        <v>－</v>
      </c>
      <c r="X207" s="34">
        <f>2</f>
        <v>2</v>
      </c>
    </row>
    <row r="208" spans="1:24" x14ac:dyDescent="0.15">
      <c r="A208" s="25" t="s">
        <v>933</v>
      </c>
      <c r="B208" s="25" t="s">
        <v>656</v>
      </c>
      <c r="C208" s="25" t="s">
        <v>657</v>
      </c>
      <c r="D208" s="25" t="s">
        <v>658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 t="str">
        <f>"－"</f>
        <v>－</v>
      </c>
      <c r="L208" s="32"/>
      <c r="M208" s="31" t="str">
        <f>"－"</f>
        <v>－</v>
      </c>
      <c r="N208" s="32"/>
      <c r="O208" s="31" t="str">
        <f>"－"</f>
        <v>－</v>
      </c>
      <c r="P208" s="32"/>
      <c r="Q208" s="31" t="str">
        <f>"－"</f>
        <v>－</v>
      </c>
      <c r="R208" s="32"/>
      <c r="S208" s="33" t="str">
        <f>"－"</f>
        <v>－</v>
      </c>
      <c r="T208" s="30" t="str">
        <f>"－"</f>
        <v>－</v>
      </c>
      <c r="U208" s="30" t="str">
        <f>"－"</f>
        <v>－</v>
      </c>
      <c r="V208" s="30" t="str">
        <f>"－"</f>
        <v>－</v>
      </c>
      <c r="W208" s="30" t="str">
        <f>"－"</f>
        <v>－</v>
      </c>
      <c r="X208" s="34" t="str">
        <f>"－"</f>
        <v>－</v>
      </c>
    </row>
    <row r="209" spans="1:24" x14ac:dyDescent="0.15">
      <c r="A209" s="25" t="s">
        <v>933</v>
      </c>
      <c r="B209" s="25" t="s">
        <v>659</v>
      </c>
      <c r="C209" s="25" t="s">
        <v>660</v>
      </c>
      <c r="D209" s="25" t="s">
        <v>661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9353</f>
        <v>9353</v>
      </c>
      <c r="L209" s="32" t="s">
        <v>904</v>
      </c>
      <c r="M209" s="31">
        <f>9792</f>
        <v>9792</v>
      </c>
      <c r="N209" s="32" t="s">
        <v>936</v>
      </c>
      <c r="O209" s="31">
        <f>8865</f>
        <v>8865</v>
      </c>
      <c r="P209" s="32" t="s">
        <v>70</v>
      </c>
      <c r="Q209" s="31">
        <f>9741</f>
        <v>9741</v>
      </c>
      <c r="R209" s="32" t="s">
        <v>934</v>
      </c>
      <c r="S209" s="33">
        <f>9386.21</f>
        <v>9386.2099999999991</v>
      </c>
      <c r="T209" s="30">
        <f>3089</f>
        <v>3089</v>
      </c>
      <c r="U209" s="30" t="str">
        <f>"－"</f>
        <v>－</v>
      </c>
      <c r="V209" s="30">
        <f>28840959</f>
        <v>28840959</v>
      </c>
      <c r="W209" s="30" t="str">
        <f>"－"</f>
        <v>－</v>
      </c>
      <c r="X209" s="34">
        <f>14</f>
        <v>14</v>
      </c>
    </row>
    <row r="210" spans="1:24" x14ac:dyDescent="0.15">
      <c r="A210" s="25" t="s">
        <v>933</v>
      </c>
      <c r="B210" s="25" t="s">
        <v>662</v>
      </c>
      <c r="C210" s="25" t="s">
        <v>663</v>
      </c>
      <c r="D210" s="25" t="s">
        <v>664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10395</f>
        <v>10395</v>
      </c>
      <c r="L210" s="32" t="s">
        <v>904</v>
      </c>
      <c r="M210" s="31">
        <f>10820</f>
        <v>10820</v>
      </c>
      <c r="N210" s="32" t="s">
        <v>934</v>
      </c>
      <c r="O210" s="31">
        <f>9593</f>
        <v>9593</v>
      </c>
      <c r="P210" s="32" t="s">
        <v>911</v>
      </c>
      <c r="Q210" s="31">
        <f>10615</f>
        <v>10615</v>
      </c>
      <c r="R210" s="32" t="s">
        <v>818</v>
      </c>
      <c r="S210" s="33">
        <f>10187.24</f>
        <v>10187.24</v>
      </c>
      <c r="T210" s="30">
        <f>56568</f>
        <v>56568</v>
      </c>
      <c r="U210" s="30" t="str">
        <f>"－"</f>
        <v>－</v>
      </c>
      <c r="V210" s="30">
        <f>592729097</f>
        <v>592729097</v>
      </c>
      <c r="W210" s="30" t="str">
        <f>"－"</f>
        <v>－</v>
      </c>
      <c r="X210" s="34">
        <f>21</f>
        <v>21</v>
      </c>
    </row>
    <row r="211" spans="1:24" x14ac:dyDescent="0.15">
      <c r="A211" s="25" t="s">
        <v>933</v>
      </c>
      <c r="B211" s="25" t="s">
        <v>665</v>
      </c>
      <c r="C211" s="25" t="s">
        <v>666</v>
      </c>
      <c r="D211" s="25" t="s">
        <v>667</v>
      </c>
      <c r="E211" s="26" t="s">
        <v>45</v>
      </c>
      <c r="F211" s="27" t="s">
        <v>45</v>
      </c>
      <c r="G211" s="28" t="s">
        <v>45</v>
      </c>
      <c r="H211" s="29"/>
      <c r="I211" s="29" t="s">
        <v>589</v>
      </c>
      <c r="J211" s="30">
        <v>1</v>
      </c>
      <c r="K211" s="31">
        <f>9299</f>
        <v>9299</v>
      </c>
      <c r="L211" s="32" t="s">
        <v>811</v>
      </c>
      <c r="M211" s="31">
        <f>9736</f>
        <v>9736</v>
      </c>
      <c r="N211" s="32" t="s">
        <v>936</v>
      </c>
      <c r="O211" s="31">
        <f>9034</f>
        <v>9034</v>
      </c>
      <c r="P211" s="32" t="s">
        <v>915</v>
      </c>
      <c r="Q211" s="31">
        <f>9610</f>
        <v>9610</v>
      </c>
      <c r="R211" s="32" t="s">
        <v>818</v>
      </c>
      <c r="S211" s="33">
        <f>9384.43</f>
        <v>9384.43</v>
      </c>
      <c r="T211" s="30">
        <f>1372</f>
        <v>1372</v>
      </c>
      <c r="U211" s="30">
        <f>2</f>
        <v>2</v>
      </c>
      <c r="V211" s="30">
        <f>12756935</f>
        <v>12756935</v>
      </c>
      <c r="W211" s="30">
        <f>18982</f>
        <v>18982</v>
      </c>
      <c r="X211" s="34">
        <f>7</f>
        <v>7</v>
      </c>
    </row>
    <row r="212" spans="1:24" x14ac:dyDescent="0.15">
      <c r="A212" s="25" t="s">
        <v>933</v>
      </c>
      <c r="B212" s="25" t="s">
        <v>945</v>
      </c>
      <c r="C212" s="25" t="s">
        <v>946</v>
      </c>
      <c r="D212" s="25" t="s">
        <v>947</v>
      </c>
      <c r="E212" s="26" t="s">
        <v>808</v>
      </c>
      <c r="F212" s="27" t="s">
        <v>809</v>
      </c>
      <c r="G212" s="28" t="s">
        <v>948</v>
      </c>
      <c r="H212" s="29"/>
      <c r="I212" s="29" t="s">
        <v>589</v>
      </c>
      <c r="J212" s="30">
        <v>1</v>
      </c>
      <c r="K212" s="31">
        <f>10100</f>
        <v>10100</v>
      </c>
      <c r="L212" s="32" t="s">
        <v>908</v>
      </c>
      <c r="M212" s="31">
        <f>10645</f>
        <v>10645</v>
      </c>
      <c r="N212" s="32" t="s">
        <v>934</v>
      </c>
      <c r="O212" s="31">
        <f>10090</f>
        <v>10090</v>
      </c>
      <c r="P212" s="32" t="s">
        <v>908</v>
      </c>
      <c r="Q212" s="31">
        <f>10515</f>
        <v>10515</v>
      </c>
      <c r="R212" s="32" t="s">
        <v>818</v>
      </c>
      <c r="S212" s="33">
        <f>10441</f>
        <v>10441</v>
      </c>
      <c r="T212" s="30">
        <f>1384</f>
        <v>1384</v>
      </c>
      <c r="U212" s="30" t="str">
        <f>"－"</f>
        <v>－</v>
      </c>
      <c r="V212" s="30">
        <f>14471360</f>
        <v>14471360</v>
      </c>
      <c r="W212" s="30" t="str">
        <f>"－"</f>
        <v>－</v>
      </c>
      <c r="X212" s="34">
        <f>5</f>
        <v>5</v>
      </c>
    </row>
    <row r="213" spans="1:24" x14ac:dyDescent="0.15">
      <c r="A213" s="25" t="s">
        <v>933</v>
      </c>
      <c r="B213" s="25" t="s">
        <v>668</v>
      </c>
      <c r="C213" s="25" t="s">
        <v>669</v>
      </c>
      <c r="D213" s="25" t="s">
        <v>670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982.2</f>
        <v>982.2</v>
      </c>
      <c r="L213" s="32" t="s">
        <v>904</v>
      </c>
      <c r="M213" s="31">
        <f>984.2</f>
        <v>984.2</v>
      </c>
      <c r="N213" s="32" t="s">
        <v>909</v>
      </c>
      <c r="O213" s="31">
        <f>968</f>
        <v>968</v>
      </c>
      <c r="P213" s="32" t="s">
        <v>936</v>
      </c>
      <c r="Q213" s="31">
        <f>974.4</f>
        <v>974.4</v>
      </c>
      <c r="R213" s="32" t="s">
        <v>818</v>
      </c>
      <c r="S213" s="33">
        <f>976.6</f>
        <v>976.6</v>
      </c>
      <c r="T213" s="30">
        <f>5062480</f>
        <v>5062480</v>
      </c>
      <c r="U213" s="30">
        <f>2011390</f>
        <v>2011390</v>
      </c>
      <c r="V213" s="30">
        <f>4939518855</f>
        <v>4939518855</v>
      </c>
      <c r="W213" s="30">
        <f>1963500137</f>
        <v>1963500137</v>
      </c>
      <c r="X213" s="34">
        <f>22</f>
        <v>22</v>
      </c>
    </row>
    <row r="214" spans="1:24" x14ac:dyDescent="0.15">
      <c r="A214" s="25" t="s">
        <v>933</v>
      </c>
      <c r="B214" s="25" t="s">
        <v>671</v>
      </c>
      <c r="C214" s="25" t="s">
        <v>672</v>
      </c>
      <c r="D214" s="25" t="s">
        <v>673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996.9</f>
        <v>996.9</v>
      </c>
      <c r="L214" s="32" t="s">
        <v>904</v>
      </c>
      <c r="M214" s="31">
        <f>1013</f>
        <v>1013</v>
      </c>
      <c r="N214" s="32" t="s">
        <v>936</v>
      </c>
      <c r="O214" s="31">
        <f>970.5</f>
        <v>970.5</v>
      </c>
      <c r="P214" s="32" t="s">
        <v>821</v>
      </c>
      <c r="Q214" s="31">
        <f>1007</f>
        <v>1007</v>
      </c>
      <c r="R214" s="32" t="s">
        <v>818</v>
      </c>
      <c r="S214" s="33">
        <f>990.76</f>
        <v>990.76</v>
      </c>
      <c r="T214" s="30">
        <f>1160080</f>
        <v>1160080</v>
      </c>
      <c r="U214" s="30">
        <f>214270</f>
        <v>214270</v>
      </c>
      <c r="V214" s="30">
        <f>1146691130</f>
        <v>1146691130</v>
      </c>
      <c r="W214" s="30">
        <f>210987905</f>
        <v>210987905</v>
      </c>
      <c r="X214" s="34">
        <f>22</f>
        <v>22</v>
      </c>
    </row>
    <row r="215" spans="1:24" x14ac:dyDescent="0.15">
      <c r="A215" s="25" t="s">
        <v>933</v>
      </c>
      <c r="B215" s="25" t="s">
        <v>674</v>
      </c>
      <c r="C215" s="25" t="s">
        <v>675</v>
      </c>
      <c r="D215" s="25" t="s">
        <v>676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982.8</f>
        <v>982.8</v>
      </c>
      <c r="L215" s="32" t="s">
        <v>904</v>
      </c>
      <c r="M215" s="31">
        <f>996.7</f>
        <v>996.7</v>
      </c>
      <c r="N215" s="32" t="s">
        <v>909</v>
      </c>
      <c r="O215" s="31">
        <f>938.2</f>
        <v>938.2</v>
      </c>
      <c r="P215" s="32" t="s">
        <v>94</v>
      </c>
      <c r="Q215" s="31">
        <f>944.8</f>
        <v>944.8</v>
      </c>
      <c r="R215" s="32" t="s">
        <v>818</v>
      </c>
      <c r="S215" s="33">
        <f>963.77</f>
        <v>963.77</v>
      </c>
      <c r="T215" s="30">
        <f>15102430</f>
        <v>15102430</v>
      </c>
      <c r="U215" s="30">
        <f>7630580</f>
        <v>7630580</v>
      </c>
      <c r="V215" s="30">
        <f>14440358078</f>
        <v>14440358078</v>
      </c>
      <c r="W215" s="30">
        <f>7272188844</f>
        <v>7272188844</v>
      </c>
      <c r="X215" s="34">
        <f>22</f>
        <v>22</v>
      </c>
    </row>
    <row r="216" spans="1:24" x14ac:dyDescent="0.15">
      <c r="A216" s="25" t="s">
        <v>933</v>
      </c>
      <c r="B216" s="25" t="s">
        <v>677</v>
      </c>
      <c r="C216" s="25" t="s">
        <v>678</v>
      </c>
      <c r="D216" s="25" t="s">
        <v>679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1553.5</f>
        <v>1553.5</v>
      </c>
      <c r="L216" s="32" t="s">
        <v>904</v>
      </c>
      <c r="M216" s="31">
        <f>1743.5</f>
        <v>1743.5</v>
      </c>
      <c r="N216" s="32" t="s">
        <v>934</v>
      </c>
      <c r="O216" s="31">
        <f>1460</f>
        <v>1460</v>
      </c>
      <c r="P216" s="32" t="s">
        <v>912</v>
      </c>
      <c r="Q216" s="31">
        <f>1718</f>
        <v>1718</v>
      </c>
      <c r="R216" s="32" t="s">
        <v>818</v>
      </c>
      <c r="S216" s="33">
        <f>1586.32</f>
        <v>1586.32</v>
      </c>
      <c r="T216" s="30">
        <f>2913550</f>
        <v>2913550</v>
      </c>
      <c r="U216" s="30">
        <f>1567170</f>
        <v>1567170</v>
      </c>
      <c r="V216" s="30">
        <f>4657030140</f>
        <v>4657030140</v>
      </c>
      <c r="W216" s="30">
        <f>2578640475</f>
        <v>2578640475</v>
      </c>
      <c r="X216" s="34">
        <f>22</f>
        <v>22</v>
      </c>
    </row>
    <row r="217" spans="1:24" x14ac:dyDescent="0.15">
      <c r="A217" s="25" t="s">
        <v>933</v>
      </c>
      <c r="B217" s="25" t="s">
        <v>680</v>
      </c>
      <c r="C217" s="25" t="s">
        <v>681</v>
      </c>
      <c r="D217" s="25" t="s">
        <v>682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1475.5</f>
        <v>1475.5</v>
      </c>
      <c r="L217" s="32" t="s">
        <v>904</v>
      </c>
      <c r="M217" s="31">
        <f>1545.5</f>
        <v>1545.5</v>
      </c>
      <c r="N217" s="32" t="s">
        <v>934</v>
      </c>
      <c r="O217" s="31">
        <f>1385.5</f>
        <v>1385.5</v>
      </c>
      <c r="P217" s="32" t="s">
        <v>912</v>
      </c>
      <c r="Q217" s="31">
        <f>1537.5</f>
        <v>1537.5</v>
      </c>
      <c r="R217" s="32" t="s">
        <v>818</v>
      </c>
      <c r="S217" s="33">
        <f>1462.09</f>
        <v>1462.09</v>
      </c>
      <c r="T217" s="30">
        <f>296020</f>
        <v>296020</v>
      </c>
      <c r="U217" s="30" t="str">
        <f>"－"</f>
        <v>－</v>
      </c>
      <c r="V217" s="30">
        <f>423387970</f>
        <v>423387970</v>
      </c>
      <c r="W217" s="30" t="str">
        <f>"－"</f>
        <v>－</v>
      </c>
      <c r="X217" s="34">
        <f>22</f>
        <v>22</v>
      </c>
    </row>
    <row r="218" spans="1:24" x14ac:dyDescent="0.15">
      <c r="A218" s="25" t="s">
        <v>933</v>
      </c>
      <c r="B218" s="25" t="s">
        <v>683</v>
      </c>
      <c r="C218" s="25" t="s">
        <v>684</v>
      </c>
      <c r="D218" s="25" t="s">
        <v>685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1202.5</f>
        <v>1202.5</v>
      </c>
      <c r="L218" s="32" t="s">
        <v>904</v>
      </c>
      <c r="M218" s="31">
        <f>1385.5</f>
        <v>1385.5</v>
      </c>
      <c r="N218" s="32" t="s">
        <v>934</v>
      </c>
      <c r="O218" s="31">
        <f>1165</f>
        <v>1165</v>
      </c>
      <c r="P218" s="32" t="s">
        <v>811</v>
      </c>
      <c r="Q218" s="31">
        <f>1362.5</f>
        <v>1362.5</v>
      </c>
      <c r="R218" s="32" t="s">
        <v>818</v>
      </c>
      <c r="S218" s="33">
        <f>1262.77</f>
        <v>1262.77</v>
      </c>
      <c r="T218" s="30">
        <f>542570</f>
        <v>542570</v>
      </c>
      <c r="U218" s="30">
        <f>220190</f>
        <v>220190</v>
      </c>
      <c r="V218" s="30">
        <f>707131626</f>
        <v>707131626</v>
      </c>
      <c r="W218" s="30">
        <f>300773711</f>
        <v>300773711</v>
      </c>
      <c r="X218" s="34">
        <f>22</f>
        <v>22</v>
      </c>
    </row>
    <row r="219" spans="1:24" x14ac:dyDescent="0.15">
      <c r="A219" s="25" t="s">
        <v>933</v>
      </c>
      <c r="B219" s="25" t="s">
        <v>686</v>
      </c>
      <c r="C219" s="25" t="s">
        <v>687</v>
      </c>
      <c r="D219" s="25" t="s">
        <v>688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576.2</f>
        <v>576.20000000000005</v>
      </c>
      <c r="L219" s="32" t="s">
        <v>904</v>
      </c>
      <c r="M219" s="31">
        <f>611.9</f>
        <v>611.9</v>
      </c>
      <c r="N219" s="32" t="s">
        <v>907</v>
      </c>
      <c r="O219" s="31">
        <f>506.6</f>
        <v>506.6</v>
      </c>
      <c r="P219" s="32" t="s">
        <v>915</v>
      </c>
      <c r="Q219" s="31">
        <f>610.2</f>
        <v>610.20000000000005</v>
      </c>
      <c r="R219" s="32" t="s">
        <v>818</v>
      </c>
      <c r="S219" s="33">
        <f>561.6</f>
        <v>561.6</v>
      </c>
      <c r="T219" s="30">
        <f>92745480</f>
        <v>92745480</v>
      </c>
      <c r="U219" s="30">
        <f>291260</f>
        <v>291260</v>
      </c>
      <c r="V219" s="30">
        <f>52231890885</f>
        <v>52231890885</v>
      </c>
      <c r="W219" s="30">
        <f>167363465</f>
        <v>167363465</v>
      </c>
      <c r="X219" s="34">
        <f>22</f>
        <v>22</v>
      </c>
    </row>
    <row r="220" spans="1:24" x14ac:dyDescent="0.15">
      <c r="A220" s="25" t="s">
        <v>933</v>
      </c>
      <c r="B220" s="25" t="s">
        <v>689</v>
      </c>
      <c r="C220" s="25" t="s">
        <v>690</v>
      </c>
      <c r="D220" s="25" t="s">
        <v>691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1105</f>
        <v>1105</v>
      </c>
      <c r="L220" s="32" t="s">
        <v>904</v>
      </c>
      <c r="M220" s="31">
        <f>1200</f>
        <v>1200</v>
      </c>
      <c r="N220" s="32" t="s">
        <v>934</v>
      </c>
      <c r="O220" s="31">
        <f>1084.5</f>
        <v>1084.5</v>
      </c>
      <c r="P220" s="32" t="s">
        <v>915</v>
      </c>
      <c r="Q220" s="31">
        <f>1180</f>
        <v>1180</v>
      </c>
      <c r="R220" s="32" t="s">
        <v>818</v>
      </c>
      <c r="S220" s="33">
        <f>1127.7</f>
        <v>1127.7</v>
      </c>
      <c r="T220" s="30">
        <f>22660</f>
        <v>22660</v>
      </c>
      <c r="U220" s="30" t="str">
        <f>"－"</f>
        <v>－</v>
      </c>
      <c r="V220" s="30">
        <f>25391575</f>
        <v>25391575</v>
      </c>
      <c r="W220" s="30" t="str">
        <f>"－"</f>
        <v>－</v>
      </c>
      <c r="X220" s="34">
        <f>22</f>
        <v>22</v>
      </c>
    </row>
    <row r="221" spans="1:24" x14ac:dyDescent="0.15">
      <c r="A221" s="25" t="s">
        <v>933</v>
      </c>
      <c r="B221" s="25" t="s">
        <v>692</v>
      </c>
      <c r="C221" s="25" t="s">
        <v>693</v>
      </c>
      <c r="D221" s="25" t="s">
        <v>694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</v>
      </c>
      <c r="K221" s="31">
        <f>1072</f>
        <v>1072</v>
      </c>
      <c r="L221" s="32" t="s">
        <v>904</v>
      </c>
      <c r="M221" s="31">
        <f>1145</f>
        <v>1145</v>
      </c>
      <c r="N221" s="32" t="s">
        <v>934</v>
      </c>
      <c r="O221" s="31">
        <f>1017</f>
        <v>1017</v>
      </c>
      <c r="P221" s="32" t="s">
        <v>70</v>
      </c>
      <c r="Q221" s="31">
        <f>1125</f>
        <v>1125</v>
      </c>
      <c r="R221" s="32" t="s">
        <v>818</v>
      </c>
      <c r="S221" s="33">
        <f>1083.32</f>
        <v>1083.32</v>
      </c>
      <c r="T221" s="30">
        <f>20470</f>
        <v>20470</v>
      </c>
      <c r="U221" s="30">
        <f>4</f>
        <v>4</v>
      </c>
      <c r="V221" s="30">
        <f>22692265</f>
        <v>22692265</v>
      </c>
      <c r="W221" s="30">
        <f>4270</f>
        <v>4270</v>
      </c>
      <c r="X221" s="34">
        <f>22</f>
        <v>22</v>
      </c>
    </row>
    <row r="222" spans="1:24" x14ac:dyDescent="0.15">
      <c r="A222" s="25" t="s">
        <v>933</v>
      </c>
      <c r="B222" s="25" t="s">
        <v>696</v>
      </c>
      <c r="C222" s="25" t="s">
        <v>697</v>
      </c>
      <c r="D222" s="25" t="s">
        <v>698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960.2</f>
        <v>960.2</v>
      </c>
      <c r="L222" s="32" t="s">
        <v>904</v>
      </c>
      <c r="M222" s="31">
        <f>960.2</f>
        <v>960.2</v>
      </c>
      <c r="N222" s="32" t="s">
        <v>904</v>
      </c>
      <c r="O222" s="31">
        <f>854.1</f>
        <v>854.1</v>
      </c>
      <c r="P222" s="32" t="s">
        <v>911</v>
      </c>
      <c r="Q222" s="31">
        <f>926.6</f>
        <v>926.6</v>
      </c>
      <c r="R222" s="32" t="s">
        <v>818</v>
      </c>
      <c r="S222" s="33">
        <f>902.06</f>
        <v>902.06</v>
      </c>
      <c r="T222" s="30">
        <f>253450</f>
        <v>253450</v>
      </c>
      <c r="U222" s="30">
        <f>102780</f>
        <v>102780</v>
      </c>
      <c r="V222" s="30">
        <f>231248507</f>
        <v>231248507</v>
      </c>
      <c r="W222" s="30">
        <f>96367679</f>
        <v>96367679</v>
      </c>
      <c r="X222" s="34">
        <f>22</f>
        <v>22</v>
      </c>
    </row>
    <row r="223" spans="1:24" x14ac:dyDescent="0.15">
      <c r="A223" s="25" t="s">
        <v>933</v>
      </c>
      <c r="B223" s="25" t="s">
        <v>699</v>
      </c>
      <c r="C223" s="25" t="s">
        <v>700</v>
      </c>
      <c r="D223" s="25" t="s">
        <v>701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1168</f>
        <v>1168</v>
      </c>
      <c r="L223" s="32" t="s">
        <v>904</v>
      </c>
      <c r="M223" s="31">
        <f>1230.5</f>
        <v>1230.5</v>
      </c>
      <c r="N223" s="32" t="s">
        <v>818</v>
      </c>
      <c r="O223" s="31">
        <f>1027</f>
        <v>1027</v>
      </c>
      <c r="P223" s="32" t="s">
        <v>911</v>
      </c>
      <c r="Q223" s="31">
        <f>1219.5</f>
        <v>1219.5</v>
      </c>
      <c r="R223" s="32" t="s">
        <v>818</v>
      </c>
      <c r="S223" s="33">
        <f>1146.82</f>
        <v>1146.82</v>
      </c>
      <c r="T223" s="30">
        <f>238180</f>
        <v>238180</v>
      </c>
      <c r="U223" s="30">
        <f>17060</f>
        <v>17060</v>
      </c>
      <c r="V223" s="30">
        <f>272036347</f>
        <v>272036347</v>
      </c>
      <c r="W223" s="30">
        <f>20744377</f>
        <v>20744377</v>
      </c>
      <c r="X223" s="34">
        <f>22</f>
        <v>22</v>
      </c>
    </row>
    <row r="224" spans="1:24" x14ac:dyDescent="0.15">
      <c r="A224" s="25" t="s">
        <v>933</v>
      </c>
      <c r="B224" s="25" t="s">
        <v>702</v>
      </c>
      <c r="C224" s="25" t="s">
        <v>703</v>
      </c>
      <c r="D224" s="25" t="s">
        <v>704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1526.5</f>
        <v>1526.5</v>
      </c>
      <c r="L224" s="32" t="s">
        <v>904</v>
      </c>
      <c r="M224" s="31">
        <f>1618.5</f>
        <v>1618.5</v>
      </c>
      <c r="N224" s="32" t="s">
        <v>934</v>
      </c>
      <c r="O224" s="31">
        <f>1450</f>
        <v>1450</v>
      </c>
      <c r="P224" s="32" t="s">
        <v>915</v>
      </c>
      <c r="Q224" s="31">
        <f>1609.5</f>
        <v>1609.5</v>
      </c>
      <c r="R224" s="32" t="s">
        <v>818</v>
      </c>
      <c r="S224" s="33">
        <f>1525.07</f>
        <v>1525.07</v>
      </c>
      <c r="T224" s="30">
        <f>14997950</f>
        <v>14997950</v>
      </c>
      <c r="U224" s="30">
        <f>7310410</f>
        <v>7310410</v>
      </c>
      <c r="V224" s="30">
        <f>22563292902</f>
        <v>22563292902</v>
      </c>
      <c r="W224" s="30">
        <f>10950094497</f>
        <v>10950094497</v>
      </c>
      <c r="X224" s="34">
        <f>22</f>
        <v>22</v>
      </c>
    </row>
    <row r="225" spans="1:24" x14ac:dyDescent="0.15">
      <c r="A225" s="25" t="s">
        <v>933</v>
      </c>
      <c r="B225" s="25" t="s">
        <v>705</v>
      </c>
      <c r="C225" s="25" t="s">
        <v>706</v>
      </c>
      <c r="D225" s="25" t="s">
        <v>707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3665</f>
        <v>3665</v>
      </c>
      <c r="L225" s="32" t="s">
        <v>904</v>
      </c>
      <c r="M225" s="31">
        <f>4005</f>
        <v>4005</v>
      </c>
      <c r="N225" s="32" t="s">
        <v>934</v>
      </c>
      <c r="O225" s="31">
        <f>3300</f>
        <v>3300</v>
      </c>
      <c r="P225" s="32" t="s">
        <v>912</v>
      </c>
      <c r="Q225" s="31">
        <f>3905</f>
        <v>3905</v>
      </c>
      <c r="R225" s="32" t="s">
        <v>818</v>
      </c>
      <c r="S225" s="33">
        <f>3626.36</f>
        <v>3626.36</v>
      </c>
      <c r="T225" s="30">
        <f>180086</f>
        <v>180086</v>
      </c>
      <c r="U225" s="30">
        <f>88000</f>
        <v>88000</v>
      </c>
      <c r="V225" s="30">
        <f>643722017</f>
        <v>643722017</v>
      </c>
      <c r="W225" s="30">
        <f>309486502</f>
        <v>309486502</v>
      </c>
      <c r="X225" s="34">
        <f>22</f>
        <v>22</v>
      </c>
    </row>
    <row r="226" spans="1:24" x14ac:dyDescent="0.15">
      <c r="A226" s="25" t="s">
        <v>933</v>
      </c>
      <c r="B226" s="25" t="s">
        <v>708</v>
      </c>
      <c r="C226" s="25" t="s">
        <v>709</v>
      </c>
      <c r="D226" s="25" t="s">
        <v>710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1563.5</f>
        <v>1563.5</v>
      </c>
      <c r="L226" s="32" t="s">
        <v>904</v>
      </c>
      <c r="M226" s="31">
        <f>1663</f>
        <v>1663</v>
      </c>
      <c r="N226" s="32" t="s">
        <v>815</v>
      </c>
      <c r="O226" s="31">
        <f>1500</f>
        <v>1500</v>
      </c>
      <c r="P226" s="32" t="s">
        <v>911</v>
      </c>
      <c r="Q226" s="31">
        <f>1628.5</f>
        <v>1628.5</v>
      </c>
      <c r="R226" s="32" t="s">
        <v>818</v>
      </c>
      <c r="S226" s="33">
        <f>1581.18</f>
        <v>1581.18</v>
      </c>
      <c r="T226" s="30">
        <f>12080</f>
        <v>12080</v>
      </c>
      <c r="U226" s="30">
        <f>40</f>
        <v>40</v>
      </c>
      <c r="V226" s="30">
        <f>18939670</f>
        <v>18939670</v>
      </c>
      <c r="W226" s="30">
        <f>59360</f>
        <v>59360</v>
      </c>
      <c r="X226" s="34">
        <f>22</f>
        <v>22</v>
      </c>
    </row>
    <row r="227" spans="1:24" x14ac:dyDescent="0.15">
      <c r="A227" s="25" t="s">
        <v>933</v>
      </c>
      <c r="B227" s="25" t="s">
        <v>711</v>
      </c>
      <c r="C227" s="25" t="s">
        <v>712</v>
      </c>
      <c r="D227" s="25" t="s">
        <v>713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1927.5</f>
        <v>1927.5</v>
      </c>
      <c r="L227" s="32" t="s">
        <v>904</v>
      </c>
      <c r="M227" s="31">
        <f>2061.5</f>
        <v>2061.5</v>
      </c>
      <c r="N227" s="32" t="s">
        <v>934</v>
      </c>
      <c r="O227" s="31">
        <f>1779.5</f>
        <v>1779.5</v>
      </c>
      <c r="P227" s="32" t="s">
        <v>912</v>
      </c>
      <c r="Q227" s="31">
        <f>1995.5</f>
        <v>1995.5</v>
      </c>
      <c r="R227" s="32" t="s">
        <v>818</v>
      </c>
      <c r="S227" s="33">
        <f>1917.26</f>
        <v>1917.26</v>
      </c>
      <c r="T227" s="30">
        <f>1019510</f>
        <v>1019510</v>
      </c>
      <c r="U227" s="30">
        <f>100000</f>
        <v>100000</v>
      </c>
      <c r="V227" s="30">
        <f>1879006885</f>
        <v>1879006885</v>
      </c>
      <c r="W227" s="30">
        <f>182093000</f>
        <v>182093000</v>
      </c>
      <c r="X227" s="34">
        <f>19</f>
        <v>19</v>
      </c>
    </row>
    <row r="228" spans="1:24" x14ac:dyDescent="0.15">
      <c r="A228" s="25" t="s">
        <v>933</v>
      </c>
      <c r="B228" s="25" t="s">
        <v>714</v>
      </c>
      <c r="C228" s="25" t="s">
        <v>715</v>
      </c>
      <c r="D228" s="25" t="s">
        <v>716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</v>
      </c>
      <c r="K228" s="31">
        <f>27200</f>
        <v>27200</v>
      </c>
      <c r="L228" s="32" t="s">
        <v>904</v>
      </c>
      <c r="M228" s="31">
        <f>28665</f>
        <v>28665</v>
      </c>
      <c r="N228" s="32" t="s">
        <v>934</v>
      </c>
      <c r="O228" s="31">
        <f>24960</f>
        <v>24960</v>
      </c>
      <c r="P228" s="32" t="s">
        <v>912</v>
      </c>
      <c r="Q228" s="31">
        <f>28340</f>
        <v>28340</v>
      </c>
      <c r="R228" s="32" t="s">
        <v>818</v>
      </c>
      <c r="S228" s="33">
        <f>26826.05</f>
        <v>26826.05</v>
      </c>
      <c r="T228" s="30">
        <f>24673</f>
        <v>24673</v>
      </c>
      <c r="U228" s="30" t="str">
        <f>"－"</f>
        <v>－</v>
      </c>
      <c r="V228" s="30">
        <f>670859055</f>
        <v>670859055</v>
      </c>
      <c r="W228" s="30" t="str">
        <f>"－"</f>
        <v>－</v>
      </c>
      <c r="X228" s="34">
        <f>19</f>
        <v>19</v>
      </c>
    </row>
    <row r="229" spans="1:24" x14ac:dyDescent="0.15">
      <c r="A229" s="25" t="s">
        <v>933</v>
      </c>
      <c r="B229" s="25" t="s">
        <v>717</v>
      </c>
      <c r="C229" s="25" t="s">
        <v>718</v>
      </c>
      <c r="D229" s="25" t="s">
        <v>719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17175</f>
        <v>17175</v>
      </c>
      <c r="L229" s="32" t="s">
        <v>904</v>
      </c>
      <c r="M229" s="31">
        <f>18065</f>
        <v>18065</v>
      </c>
      <c r="N229" s="32" t="s">
        <v>815</v>
      </c>
      <c r="O229" s="31">
        <f>16000</f>
        <v>16000</v>
      </c>
      <c r="P229" s="32" t="s">
        <v>912</v>
      </c>
      <c r="Q229" s="31">
        <f>17955</f>
        <v>17955</v>
      </c>
      <c r="R229" s="32" t="s">
        <v>818</v>
      </c>
      <c r="S229" s="33">
        <f>17102.67</f>
        <v>17102.669999999998</v>
      </c>
      <c r="T229" s="30">
        <f>4860</f>
        <v>4860</v>
      </c>
      <c r="U229" s="30" t="str">
        <f>"－"</f>
        <v>－</v>
      </c>
      <c r="V229" s="30">
        <f>84035165</f>
        <v>84035165</v>
      </c>
      <c r="W229" s="30" t="str">
        <f>"－"</f>
        <v>－</v>
      </c>
      <c r="X229" s="34">
        <f>15</f>
        <v>15</v>
      </c>
    </row>
    <row r="230" spans="1:24" x14ac:dyDescent="0.15">
      <c r="A230" s="25" t="s">
        <v>933</v>
      </c>
      <c r="B230" s="25" t="s">
        <v>720</v>
      </c>
      <c r="C230" s="25" t="s">
        <v>721</v>
      </c>
      <c r="D230" s="25" t="s">
        <v>722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1112.5</f>
        <v>1112.5</v>
      </c>
      <c r="L230" s="32" t="s">
        <v>904</v>
      </c>
      <c r="M230" s="31">
        <f>1202.5</f>
        <v>1202.5</v>
      </c>
      <c r="N230" s="32" t="s">
        <v>934</v>
      </c>
      <c r="O230" s="31">
        <f>1106.5</f>
        <v>1106.5</v>
      </c>
      <c r="P230" s="32" t="s">
        <v>70</v>
      </c>
      <c r="Q230" s="31">
        <f>1184.5</f>
        <v>1184.5</v>
      </c>
      <c r="R230" s="32" t="s">
        <v>818</v>
      </c>
      <c r="S230" s="33">
        <f>1144</f>
        <v>1144</v>
      </c>
      <c r="T230" s="30">
        <f>495990</f>
        <v>495990</v>
      </c>
      <c r="U230" s="30">
        <f>150130</f>
        <v>150130</v>
      </c>
      <c r="V230" s="30">
        <f>580964919</f>
        <v>580964919</v>
      </c>
      <c r="W230" s="30">
        <f>172619474</f>
        <v>172619474</v>
      </c>
      <c r="X230" s="34">
        <f>12</f>
        <v>12</v>
      </c>
    </row>
    <row r="231" spans="1:24" x14ac:dyDescent="0.15">
      <c r="A231" s="25" t="s">
        <v>933</v>
      </c>
      <c r="B231" s="25" t="s">
        <v>723</v>
      </c>
      <c r="C231" s="25" t="s">
        <v>724</v>
      </c>
      <c r="D231" s="25" t="s">
        <v>725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1111</f>
        <v>1111</v>
      </c>
      <c r="L231" s="32" t="s">
        <v>904</v>
      </c>
      <c r="M231" s="31">
        <f>1193</f>
        <v>1193</v>
      </c>
      <c r="N231" s="32" t="s">
        <v>934</v>
      </c>
      <c r="O231" s="31">
        <f>1080</f>
        <v>1080</v>
      </c>
      <c r="P231" s="32" t="s">
        <v>911</v>
      </c>
      <c r="Q231" s="31">
        <f>1173</f>
        <v>1173</v>
      </c>
      <c r="R231" s="32" t="s">
        <v>818</v>
      </c>
      <c r="S231" s="33">
        <f>1124.25</f>
        <v>1124.25</v>
      </c>
      <c r="T231" s="30">
        <f>11560</f>
        <v>11560</v>
      </c>
      <c r="U231" s="30" t="str">
        <f>"－"</f>
        <v>－</v>
      </c>
      <c r="V231" s="30">
        <f>12899750</f>
        <v>12899750</v>
      </c>
      <c r="W231" s="30" t="str">
        <f>"－"</f>
        <v>－</v>
      </c>
      <c r="X231" s="34">
        <f>22</f>
        <v>22</v>
      </c>
    </row>
    <row r="232" spans="1:24" x14ac:dyDescent="0.15">
      <c r="A232" s="25" t="s">
        <v>933</v>
      </c>
      <c r="B232" s="25" t="s">
        <v>726</v>
      </c>
      <c r="C232" s="25" t="s">
        <v>727</v>
      </c>
      <c r="D232" s="25" t="s">
        <v>728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1137</f>
        <v>1137</v>
      </c>
      <c r="L232" s="32" t="s">
        <v>904</v>
      </c>
      <c r="M232" s="31">
        <f>1212</f>
        <v>1212</v>
      </c>
      <c r="N232" s="32" t="s">
        <v>820</v>
      </c>
      <c r="O232" s="31">
        <f>1069</f>
        <v>1069</v>
      </c>
      <c r="P232" s="32" t="s">
        <v>911</v>
      </c>
      <c r="Q232" s="31">
        <f>1185</f>
        <v>1185</v>
      </c>
      <c r="R232" s="32" t="s">
        <v>818</v>
      </c>
      <c r="S232" s="33">
        <f>1142.27</f>
        <v>1142.27</v>
      </c>
      <c r="T232" s="30">
        <f>55380</f>
        <v>55380</v>
      </c>
      <c r="U232" s="30">
        <f>14</f>
        <v>14</v>
      </c>
      <c r="V232" s="30">
        <f>63243725</f>
        <v>63243725</v>
      </c>
      <c r="W232" s="30">
        <f>17574</f>
        <v>17574</v>
      </c>
      <c r="X232" s="34">
        <f>22</f>
        <v>22</v>
      </c>
    </row>
    <row r="233" spans="1:24" x14ac:dyDescent="0.15">
      <c r="A233" s="25" t="s">
        <v>933</v>
      </c>
      <c r="B233" s="25" t="s">
        <v>729</v>
      </c>
      <c r="C233" s="25" t="s">
        <v>730</v>
      </c>
      <c r="D233" s="25" t="s">
        <v>731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14000</f>
        <v>14000</v>
      </c>
      <c r="L233" s="32" t="s">
        <v>904</v>
      </c>
      <c r="M233" s="31">
        <f>14000</f>
        <v>14000</v>
      </c>
      <c r="N233" s="32" t="s">
        <v>904</v>
      </c>
      <c r="O233" s="31">
        <f>12330</f>
        <v>12330</v>
      </c>
      <c r="P233" s="32" t="s">
        <v>906</v>
      </c>
      <c r="Q233" s="31">
        <f>13700</f>
        <v>13700</v>
      </c>
      <c r="R233" s="32" t="s">
        <v>818</v>
      </c>
      <c r="S233" s="33">
        <f>13415.48</f>
        <v>13415.48</v>
      </c>
      <c r="T233" s="30">
        <f>1395</f>
        <v>1395</v>
      </c>
      <c r="U233" s="30">
        <f>3</f>
        <v>3</v>
      </c>
      <c r="V233" s="30">
        <f>18489375</f>
        <v>18489375</v>
      </c>
      <c r="W233" s="30">
        <f>35625</f>
        <v>35625</v>
      </c>
      <c r="X233" s="34">
        <f>21</f>
        <v>21</v>
      </c>
    </row>
    <row r="234" spans="1:24" x14ac:dyDescent="0.15">
      <c r="A234" s="25" t="s">
        <v>933</v>
      </c>
      <c r="B234" s="25" t="s">
        <v>732</v>
      </c>
      <c r="C234" s="25" t="s">
        <v>733</v>
      </c>
      <c r="D234" s="25" t="s">
        <v>734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2040</f>
        <v>2040</v>
      </c>
      <c r="L234" s="32" t="s">
        <v>904</v>
      </c>
      <c r="M234" s="31">
        <f>2199</f>
        <v>2199</v>
      </c>
      <c r="N234" s="32" t="s">
        <v>934</v>
      </c>
      <c r="O234" s="31">
        <f>1985</f>
        <v>1985</v>
      </c>
      <c r="P234" s="32" t="s">
        <v>911</v>
      </c>
      <c r="Q234" s="31">
        <f>2150</f>
        <v>2150</v>
      </c>
      <c r="R234" s="32" t="s">
        <v>818</v>
      </c>
      <c r="S234" s="33">
        <f>2064.55</f>
        <v>2064.5500000000002</v>
      </c>
      <c r="T234" s="30">
        <f>18031</f>
        <v>18031</v>
      </c>
      <c r="U234" s="30" t="str">
        <f>"－"</f>
        <v>－</v>
      </c>
      <c r="V234" s="30">
        <f>37325466</f>
        <v>37325466</v>
      </c>
      <c r="W234" s="30" t="str">
        <f>"－"</f>
        <v>－</v>
      </c>
      <c r="X234" s="34">
        <f>22</f>
        <v>22</v>
      </c>
    </row>
    <row r="235" spans="1:24" x14ac:dyDescent="0.15">
      <c r="A235" s="25" t="s">
        <v>933</v>
      </c>
      <c r="B235" s="25" t="s">
        <v>735</v>
      </c>
      <c r="C235" s="25" t="s">
        <v>736</v>
      </c>
      <c r="D235" s="25" t="s">
        <v>737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1730</f>
        <v>1730</v>
      </c>
      <c r="L235" s="32" t="s">
        <v>904</v>
      </c>
      <c r="M235" s="31">
        <f>1730</f>
        <v>1730</v>
      </c>
      <c r="N235" s="32" t="s">
        <v>904</v>
      </c>
      <c r="O235" s="31">
        <f>1500</f>
        <v>1500</v>
      </c>
      <c r="P235" s="32" t="s">
        <v>695</v>
      </c>
      <c r="Q235" s="31">
        <f>1621.5</f>
        <v>1621.5</v>
      </c>
      <c r="R235" s="32" t="s">
        <v>818</v>
      </c>
      <c r="S235" s="33">
        <f>1608.75</f>
        <v>1608.75</v>
      </c>
      <c r="T235" s="30">
        <f>6780</f>
        <v>6780</v>
      </c>
      <c r="U235" s="30" t="str">
        <f>"－"</f>
        <v>－</v>
      </c>
      <c r="V235" s="30">
        <f>10594855</f>
        <v>10594855</v>
      </c>
      <c r="W235" s="30" t="str">
        <f>"－"</f>
        <v>－</v>
      </c>
      <c r="X235" s="34">
        <f>20</f>
        <v>20</v>
      </c>
    </row>
    <row r="236" spans="1:24" x14ac:dyDescent="0.15">
      <c r="A236" s="25" t="s">
        <v>933</v>
      </c>
      <c r="B236" s="25" t="s">
        <v>738</v>
      </c>
      <c r="C236" s="25" t="s">
        <v>822</v>
      </c>
      <c r="D236" s="25" t="s">
        <v>823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959.7</f>
        <v>959.7</v>
      </c>
      <c r="L236" s="32" t="s">
        <v>904</v>
      </c>
      <c r="M236" s="31">
        <f>970</f>
        <v>970</v>
      </c>
      <c r="N236" s="32" t="s">
        <v>70</v>
      </c>
      <c r="O236" s="31">
        <f>920.5</f>
        <v>920.5</v>
      </c>
      <c r="P236" s="32" t="s">
        <v>94</v>
      </c>
      <c r="Q236" s="31">
        <f>931.6</f>
        <v>931.6</v>
      </c>
      <c r="R236" s="32" t="s">
        <v>818</v>
      </c>
      <c r="S236" s="33">
        <f>939.81</f>
        <v>939.81</v>
      </c>
      <c r="T236" s="30">
        <f>1389850</f>
        <v>1389850</v>
      </c>
      <c r="U236" s="30">
        <f>838450</f>
        <v>838450</v>
      </c>
      <c r="V236" s="30">
        <f>1296336296</f>
        <v>1296336296</v>
      </c>
      <c r="W236" s="30">
        <f>782292903</f>
        <v>782292903</v>
      </c>
      <c r="X236" s="34">
        <f>22</f>
        <v>22</v>
      </c>
    </row>
    <row r="237" spans="1:24" x14ac:dyDescent="0.15">
      <c r="A237" s="25" t="s">
        <v>933</v>
      </c>
      <c r="B237" s="25" t="s">
        <v>739</v>
      </c>
      <c r="C237" s="25" t="s">
        <v>740</v>
      </c>
      <c r="D237" s="25" t="s">
        <v>741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1935</f>
        <v>1935</v>
      </c>
      <c r="L237" s="32" t="s">
        <v>904</v>
      </c>
      <c r="M237" s="31">
        <f>2112.5</f>
        <v>2112.5</v>
      </c>
      <c r="N237" s="32" t="s">
        <v>934</v>
      </c>
      <c r="O237" s="31">
        <f>1899.5</f>
        <v>1899.5</v>
      </c>
      <c r="P237" s="32" t="s">
        <v>911</v>
      </c>
      <c r="Q237" s="31">
        <f>2045</f>
        <v>2045</v>
      </c>
      <c r="R237" s="32" t="s">
        <v>818</v>
      </c>
      <c r="S237" s="33">
        <f>1972.8</f>
        <v>1972.8</v>
      </c>
      <c r="T237" s="30">
        <f>12160</f>
        <v>12160</v>
      </c>
      <c r="U237" s="30" t="str">
        <f>"－"</f>
        <v>－</v>
      </c>
      <c r="V237" s="30">
        <f>24194530</f>
        <v>24194530</v>
      </c>
      <c r="W237" s="30" t="str">
        <f>"－"</f>
        <v>－</v>
      </c>
      <c r="X237" s="34">
        <f>22</f>
        <v>22</v>
      </c>
    </row>
    <row r="238" spans="1:24" x14ac:dyDescent="0.15">
      <c r="A238" s="25" t="s">
        <v>933</v>
      </c>
      <c r="B238" s="25" t="s">
        <v>742</v>
      </c>
      <c r="C238" s="25" t="s">
        <v>743</v>
      </c>
      <c r="D238" s="25" t="s">
        <v>744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1929</f>
        <v>1929</v>
      </c>
      <c r="L238" s="32" t="s">
        <v>904</v>
      </c>
      <c r="M238" s="31">
        <f>2101</f>
        <v>2101</v>
      </c>
      <c r="N238" s="32" t="s">
        <v>934</v>
      </c>
      <c r="O238" s="31">
        <f>1890</f>
        <v>1890</v>
      </c>
      <c r="P238" s="32" t="s">
        <v>911</v>
      </c>
      <c r="Q238" s="31">
        <f>2063</f>
        <v>2063</v>
      </c>
      <c r="R238" s="32" t="s">
        <v>818</v>
      </c>
      <c r="S238" s="33">
        <f>1970.77</f>
        <v>1970.77</v>
      </c>
      <c r="T238" s="30">
        <f>133440</f>
        <v>133440</v>
      </c>
      <c r="U238" s="30">
        <f>20020</f>
        <v>20020</v>
      </c>
      <c r="V238" s="30">
        <f>266384160</f>
        <v>266384160</v>
      </c>
      <c r="W238" s="30">
        <f>41528635</f>
        <v>41528635</v>
      </c>
      <c r="X238" s="34">
        <f>22</f>
        <v>22</v>
      </c>
    </row>
    <row r="239" spans="1:24" x14ac:dyDescent="0.15">
      <c r="A239" s="25" t="s">
        <v>933</v>
      </c>
      <c r="B239" s="25" t="s">
        <v>745</v>
      </c>
      <c r="C239" s="25" t="s">
        <v>746</v>
      </c>
      <c r="D239" s="25" t="s">
        <v>747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1875</f>
        <v>1875</v>
      </c>
      <c r="L239" s="32" t="s">
        <v>909</v>
      </c>
      <c r="M239" s="31">
        <f>1997.5</f>
        <v>1997.5</v>
      </c>
      <c r="N239" s="32" t="s">
        <v>936</v>
      </c>
      <c r="O239" s="31">
        <f>1796</f>
        <v>1796</v>
      </c>
      <c r="P239" s="32" t="s">
        <v>70</v>
      </c>
      <c r="Q239" s="31">
        <f>1997.5</f>
        <v>1997.5</v>
      </c>
      <c r="R239" s="32" t="s">
        <v>936</v>
      </c>
      <c r="S239" s="33">
        <f>1899.2</f>
        <v>1899.2</v>
      </c>
      <c r="T239" s="30">
        <f>400</f>
        <v>400</v>
      </c>
      <c r="U239" s="30" t="str">
        <f>"－"</f>
        <v>－</v>
      </c>
      <c r="V239" s="30">
        <f>741755</f>
        <v>741755</v>
      </c>
      <c r="W239" s="30" t="str">
        <f>"－"</f>
        <v>－</v>
      </c>
      <c r="X239" s="34">
        <f>10</f>
        <v>10</v>
      </c>
    </row>
    <row r="240" spans="1:24" x14ac:dyDescent="0.15">
      <c r="A240" s="25" t="s">
        <v>933</v>
      </c>
      <c r="B240" s="25" t="s">
        <v>748</v>
      </c>
      <c r="C240" s="25" t="s">
        <v>749</v>
      </c>
      <c r="D240" s="25" t="s">
        <v>750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14475</f>
        <v>14475</v>
      </c>
      <c r="L240" s="32" t="s">
        <v>904</v>
      </c>
      <c r="M240" s="31">
        <f>16380</f>
        <v>16380</v>
      </c>
      <c r="N240" s="32" t="s">
        <v>934</v>
      </c>
      <c r="O240" s="31">
        <f>13825</f>
        <v>13825</v>
      </c>
      <c r="P240" s="32" t="s">
        <v>912</v>
      </c>
      <c r="Q240" s="31">
        <f>16180</f>
        <v>16180</v>
      </c>
      <c r="R240" s="32" t="s">
        <v>818</v>
      </c>
      <c r="S240" s="33">
        <f>14919.09</f>
        <v>14919.09</v>
      </c>
      <c r="T240" s="30">
        <f>1166151</f>
        <v>1166151</v>
      </c>
      <c r="U240" s="30">
        <f>4019</f>
        <v>4019</v>
      </c>
      <c r="V240" s="30">
        <f>17453133088</f>
        <v>17453133088</v>
      </c>
      <c r="W240" s="30">
        <f>60087913</f>
        <v>60087913</v>
      </c>
      <c r="X240" s="34">
        <f>22</f>
        <v>22</v>
      </c>
    </row>
    <row r="241" spans="1:24" x14ac:dyDescent="0.15">
      <c r="A241" s="25" t="s">
        <v>933</v>
      </c>
      <c r="B241" s="25" t="s">
        <v>751</v>
      </c>
      <c r="C241" s="25" t="s">
        <v>752</v>
      </c>
      <c r="D241" s="25" t="s">
        <v>753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13500</f>
        <v>13500</v>
      </c>
      <c r="L241" s="32" t="s">
        <v>904</v>
      </c>
      <c r="M241" s="31">
        <f>14625</f>
        <v>14625</v>
      </c>
      <c r="N241" s="32" t="s">
        <v>934</v>
      </c>
      <c r="O241" s="31">
        <f>12570</f>
        <v>12570</v>
      </c>
      <c r="P241" s="32" t="s">
        <v>912</v>
      </c>
      <c r="Q241" s="31">
        <f>14450</f>
        <v>14450</v>
      </c>
      <c r="R241" s="32" t="s">
        <v>818</v>
      </c>
      <c r="S241" s="33">
        <f>13514.55</f>
        <v>13514.55</v>
      </c>
      <c r="T241" s="30">
        <f>237402</f>
        <v>237402</v>
      </c>
      <c r="U241" s="30">
        <f>5</f>
        <v>5</v>
      </c>
      <c r="V241" s="30">
        <f>3198298075</f>
        <v>3198298075</v>
      </c>
      <c r="W241" s="30">
        <f>65020</f>
        <v>65020</v>
      </c>
      <c r="X241" s="34">
        <f>22</f>
        <v>22</v>
      </c>
    </row>
    <row r="242" spans="1:24" x14ac:dyDescent="0.15">
      <c r="A242" s="25" t="s">
        <v>933</v>
      </c>
      <c r="B242" s="25" t="s">
        <v>754</v>
      </c>
      <c r="C242" s="25" t="s">
        <v>755</v>
      </c>
      <c r="D242" s="25" t="s">
        <v>756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24800</f>
        <v>24800</v>
      </c>
      <c r="L242" s="32" t="s">
        <v>909</v>
      </c>
      <c r="M242" s="31">
        <f>26560</f>
        <v>26560</v>
      </c>
      <c r="N242" s="32" t="s">
        <v>936</v>
      </c>
      <c r="O242" s="31">
        <f>23500</f>
        <v>23500</v>
      </c>
      <c r="P242" s="32" t="s">
        <v>912</v>
      </c>
      <c r="Q242" s="31">
        <f>26560</f>
        <v>26560</v>
      </c>
      <c r="R242" s="32" t="s">
        <v>936</v>
      </c>
      <c r="S242" s="33">
        <f>25085.77</f>
        <v>25085.77</v>
      </c>
      <c r="T242" s="30">
        <f>82</f>
        <v>82</v>
      </c>
      <c r="U242" s="30" t="str">
        <f>"－"</f>
        <v>－</v>
      </c>
      <c r="V242" s="30">
        <f>2062180</f>
        <v>2062180</v>
      </c>
      <c r="W242" s="30" t="str">
        <f>"－"</f>
        <v>－</v>
      </c>
      <c r="X242" s="34">
        <f>13</f>
        <v>13</v>
      </c>
    </row>
    <row r="243" spans="1:24" x14ac:dyDescent="0.15">
      <c r="A243" s="25" t="s">
        <v>933</v>
      </c>
      <c r="B243" s="25" t="s">
        <v>757</v>
      </c>
      <c r="C243" s="25" t="s">
        <v>758</v>
      </c>
      <c r="D243" s="25" t="s">
        <v>759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2652</f>
        <v>2652</v>
      </c>
      <c r="L243" s="32" t="s">
        <v>904</v>
      </c>
      <c r="M243" s="31">
        <f>2673</f>
        <v>2673</v>
      </c>
      <c r="N243" s="32" t="s">
        <v>907</v>
      </c>
      <c r="O243" s="31">
        <f>2598</f>
        <v>2598</v>
      </c>
      <c r="P243" s="32" t="s">
        <v>936</v>
      </c>
      <c r="Q243" s="31">
        <f>2638</f>
        <v>2638</v>
      </c>
      <c r="R243" s="32" t="s">
        <v>818</v>
      </c>
      <c r="S243" s="33">
        <f>2646.05</f>
        <v>2646.05</v>
      </c>
      <c r="T243" s="30">
        <f>821966</f>
        <v>821966</v>
      </c>
      <c r="U243" s="30">
        <f>67583</f>
        <v>67583</v>
      </c>
      <c r="V243" s="30">
        <f>2167111333</f>
        <v>2167111333</v>
      </c>
      <c r="W243" s="30">
        <f>178484530</f>
        <v>178484530</v>
      </c>
      <c r="X243" s="34">
        <f>22</f>
        <v>22</v>
      </c>
    </row>
    <row r="244" spans="1:24" x14ac:dyDescent="0.15">
      <c r="A244" s="25" t="s">
        <v>933</v>
      </c>
      <c r="B244" s="25" t="s">
        <v>760</v>
      </c>
      <c r="C244" s="25" t="s">
        <v>761</v>
      </c>
      <c r="D244" s="25" t="s">
        <v>762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2949</f>
        <v>2949</v>
      </c>
      <c r="L244" s="32" t="s">
        <v>904</v>
      </c>
      <c r="M244" s="31">
        <f>3060</f>
        <v>3060</v>
      </c>
      <c r="N244" s="32" t="s">
        <v>934</v>
      </c>
      <c r="O244" s="31">
        <f>2814.5</f>
        <v>2814.5</v>
      </c>
      <c r="P244" s="32" t="s">
        <v>912</v>
      </c>
      <c r="Q244" s="31">
        <f>3056</f>
        <v>3056</v>
      </c>
      <c r="R244" s="32" t="s">
        <v>818</v>
      </c>
      <c r="S244" s="33">
        <f>2937.25</f>
        <v>2937.25</v>
      </c>
      <c r="T244" s="30">
        <f>5622410</f>
        <v>5622410</v>
      </c>
      <c r="U244" s="30">
        <f>3348000</f>
        <v>3348000</v>
      </c>
      <c r="V244" s="30">
        <f>16523048426</f>
        <v>16523048426</v>
      </c>
      <c r="W244" s="30">
        <f>9851798541</f>
        <v>9851798541</v>
      </c>
      <c r="X244" s="34">
        <f>22</f>
        <v>22</v>
      </c>
    </row>
    <row r="245" spans="1:24" x14ac:dyDescent="0.15">
      <c r="A245" s="25" t="s">
        <v>933</v>
      </c>
      <c r="B245" s="25" t="s">
        <v>763</v>
      </c>
      <c r="C245" s="25" t="s">
        <v>764</v>
      </c>
      <c r="D245" s="25" t="s">
        <v>765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284.7</f>
        <v>284.7</v>
      </c>
      <c r="L245" s="32" t="s">
        <v>904</v>
      </c>
      <c r="M245" s="31">
        <f>302</f>
        <v>302</v>
      </c>
      <c r="N245" s="32" t="s">
        <v>934</v>
      </c>
      <c r="O245" s="31">
        <f>270.7</f>
        <v>270.7</v>
      </c>
      <c r="P245" s="32" t="s">
        <v>915</v>
      </c>
      <c r="Q245" s="31">
        <f>300.6</f>
        <v>300.60000000000002</v>
      </c>
      <c r="R245" s="32" t="s">
        <v>818</v>
      </c>
      <c r="S245" s="33">
        <f>284.78</f>
        <v>284.77999999999997</v>
      </c>
      <c r="T245" s="30">
        <f>60957370</f>
        <v>60957370</v>
      </c>
      <c r="U245" s="30">
        <f>12407000</f>
        <v>12407000</v>
      </c>
      <c r="V245" s="30">
        <f>17274483108</f>
        <v>17274483108</v>
      </c>
      <c r="W245" s="30">
        <f>3485676390</f>
        <v>3485676390</v>
      </c>
      <c r="X245" s="34">
        <f>22</f>
        <v>22</v>
      </c>
    </row>
    <row r="246" spans="1:24" x14ac:dyDescent="0.15">
      <c r="A246" s="25" t="s">
        <v>933</v>
      </c>
      <c r="B246" s="25" t="s">
        <v>766</v>
      </c>
      <c r="C246" s="25" t="s">
        <v>767</v>
      </c>
      <c r="D246" s="25" t="s">
        <v>768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</v>
      </c>
      <c r="K246" s="31">
        <f>1999</f>
        <v>1999</v>
      </c>
      <c r="L246" s="32" t="s">
        <v>904</v>
      </c>
      <c r="M246" s="31">
        <f>2063</f>
        <v>2063</v>
      </c>
      <c r="N246" s="32" t="s">
        <v>935</v>
      </c>
      <c r="O246" s="31">
        <f>1890</f>
        <v>1890</v>
      </c>
      <c r="P246" s="32" t="s">
        <v>911</v>
      </c>
      <c r="Q246" s="31">
        <f>2013</f>
        <v>2013</v>
      </c>
      <c r="R246" s="32" t="s">
        <v>818</v>
      </c>
      <c r="S246" s="33">
        <f>1991.36</f>
        <v>1991.36</v>
      </c>
      <c r="T246" s="30">
        <f>24042</f>
        <v>24042</v>
      </c>
      <c r="U246" s="30">
        <f>2</f>
        <v>2</v>
      </c>
      <c r="V246" s="30">
        <f>48019284</f>
        <v>48019284</v>
      </c>
      <c r="W246" s="30">
        <f>3874</f>
        <v>3874</v>
      </c>
      <c r="X246" s="34">
        <f>22</f>
        <v>22</v>
      </c>
    </row>
    <row r="247" spans="1:24" x14ac:dyDescent="0.15">
      <c r="A247" s="25" t="s">
        <v>933</v>
      </c>
      <c r="B247" s="25" t="s">
        <v>769</v>
      </c>
      <c r="C247" s="25" t="s">
        <v>770</v>
      </c>
      <c r="D247" s="25" t="s">
        <v>771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1085</f>
        <v>1085</v>
      </c>
      <c r="L247" s="32" t="s">
        <v>904</v>
      </c>
      <c r="M247" s="31">
        <f>1189</f>
        <v>1189</v>
      </c>
      <c r="N247" s="32" t="s">
        <v>934</v>
      </c>
      <c r="O247" s="31">
        <f>1074</f>
        <v>1074</v>
      </c>
      <c r="P247" s="32" t="s">
        <v>906</v>
      </c>
      <c r="Q247" s="31">
        <f>1161</f>
        <v>1161</v>
      </c>
      <c r="R247" s="32" t="s">
        <v>818</v>
      </c>
      <c r="S247" s="33">
        <f>1118.36</f>
        <v>1118.3599999999999</v>
      </c>
      <c r="T247" s="30">
        <f>156866</f>
        <v>156866</v>
      </c>
      <c r="U247" s="30" t="str">
        <f>"－"</f>
        <v>－</v>
      </c>
      <c r="V247" s="30">
        <f>175870181</f>
        <v>175870181</v>
      </c>
      <c r="W247" s="30" t="str">
        <f>"－"</f>
        <v>－</v>
      </c>
      <c r="X247" s="34">
        <f>22</f>
        <v>22</v>
      </c>
    </row>
    <row r="248" spans="1:24" x14ac:dyDescent="0.15">
      <c r="A248" s="25" t="s">
        <v>933</v>
      </c>
      <c r="B248" s="25" t="s">
        <v>772</v>
      </c>
      <c r="C248" s="25" t="s">
        <v>773</v>
      </c>
      <c r="D248" s="25" t="s">
        <v>774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1069</f>
        <v>1069</v>
      </c>
      <c r="L248" s="32" t="s">
        <v>904</v>
      </c>
      <c r="M248" s="31">
        <f>1161.5</f>
        <v>1161.5</v>
      </c>
      <c r="N248" s="32" t="s">
        <v>934</v>
      </c>
      <c r="O248" s="31">
        <f>1050</f>
        <v>1050</v>
      </c>
      <c r="P248" s="32" t="s">
        <v>911</v>
      </c>
      <c r="Q248" s="31">
        <f>1144</f>
        <v>1144</v>
      </c>
      <c r="R248" s="32" t="s">
        <v>818</v>
      </c>
      <c r="S248" s="33">
        <f>1090.84</f>
        <v>1090.8399999999999</v>
      </c>
      <c r="T248" s="30">
        <f>7030</f>
        <v>7030</v>
      </c>
      <c r="U248" s="30" t="str">
        <f>"－"</f>
        <v>－</v>
      </c>
      <c r="V248" s="30">
        <f>7645765</f>
        <v>7645765</v>
      </c>
      <c r="W248" s="30" t="str">
        <f>"－"</f>
        <v>－</v>
      </c>
      <c r="X248" s="34">
        <f>22</f>
        <v>22</v>
      </c>
    </row>
    <row r="249" spans="1:24" x14ac:dyDescent="0.15">
      <c r="A249" s="25" t="s">
        <v>933</v>
      </c>
      <c r="B249" s="25" t="s">
        <v>775</v>
      </c>
      <c r="C249" s="25" t="s">
        <v>776</v>
      </c>
      <c r="D249" s="25" t="s">
        <v>777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240.8</f>
        <v>240.8</v>
      </c>
      <c r="L249" s="32" t="s">
        <v>904</v>
      </c>
      <c r="M249" s="31">
        <f>249.4</f>
        <v>249.4</v>
      </c>
      <c r="N249" s="32" t="s">
        <v>818</v>
      </c>
      <c r="O249" s="31">
        <f>231.7</f>
        <v>231.7</v>
      </c>
      <c r="P249" s="32" t="s">
        <v>907</v>
      </c>
      <c r="Q249" s="31">
        <f>247</f>
        <v>247</v>
      </c>
      <c r="R249" s="32" t="s">
        <v>818</v>
      </c>
      <c r="S249" s="33">
        <f>242.15</f>
        <v>242.15</v>
      </c>
      <c r="T249" s="30">
        <f>23690</f>
        <v>23690</v>
      </c>
      <c r="U249" s="30" t="str">
        <f>"－"</f>
        <v>－</v>
      </c>
      <c r="V249" s="30">
        <f>5650349</f>
        <v>5650349</v>
      </c>
      <c r="W249" s="30" t="str">
        <f>"－"</f>
        <v>－</v>
      </c>
      <c r="X249" s="34">
        <f>22</f>
        <v>22</v>
      </c>
    </row>
    <row r="250" spans="1:24" x14ac:dyDescent="0.15">
      <c r="A250" s="25" t="s">
        <v>933</v>
      </c>
      <c r="B250" s="25" t="s">
        <v>778</v>
      </c>
      <c r="C250" s="25" t="s">
        <v>779</v>
      </c>
      <c r="D250" s="25" t="s">
        <v>780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2827</f>
        <v>2827</v>
      </c>
      <c r="L250" s="32" t="s">
        <v>904</v>
      </c>
      <c r="M250" s="31">
        <f>3224</f>
        <v>3224</v>
      </c>
      <c r="N250" s="32" t="s">
        <v>934</v>
      </c>
      <c r="O250" s="31">
        <f>2625</f>
        <v>2625</v>
      </c>
      <c r="P250" s="32" t="s">
        <v>912</v>
      </c>
      <c r="Q250" s="31">
        <f>3181</f>
        <v>3181</v>
      </c>
      <c r="R250" s="32" t="s">
        <v>818</v>
      </c>
      <c r="S250" s="33">
        <f>2879.82</f>
        <v>2879.82</v>
      </c>
      <c r="T250" s="30">
        <f>5125310</f>
        <v>5125310</v>
      </c>
      <c r="U250" s="30">
        <f>3610</f>
        <v>3610</v>
      </c>
      <c r="V250" s="30">
        <f>14787423190</f>
        <v>14787423190</v>
      </c>
      <c r="W250" s="30">
        <f>10722585</f>
        <v>10722585</v>
      </c>
      <c r="X250" s="34">
        <f>22</f>
        <v>22</v>
      </c>
    </row>
    <row r="251" spans="1:24" x14ac:dyDescent="0.15">
      <c r="A251" s="25" t="s">
        <v>933</v>
      </c>
      <c r="B251" s="25" t="s">
        <v>781</v>
      </c>
      <c r="C251" s="25" t="s">
        <v>782</v>
      </c>
      <c r="D251" s="25" t="s">
        <v>783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2565.5</f>
        <v>2565.5</v>
      </c>
      <c r="L251" s="32" t="s">
        <v>904</v>
      </c>
      <c r="M251" s="31">
        <f>2751.5</f>
        <v>2751.5</v>
      </c>
      <c r="N251" s="32" t="s">
        <v>934</v>
      </c>
      <c r="O251" s="31">
        <f>2342</f>
        <v>2342</v>
      </c>
      <c r="P251" s="32" t="s">
        <v>915</v>
      </c>
      <c r="Q251" s="31">
        <f>2729.5</f>
        <v>2729.5</v>
      </c>
      <c r="R251" s="32" t="s">
        <v>818</v>
      </c>
      <c r="S251" s="33">
        <f>2535.05</f>
        <v>2535.0500000000002</v>
      </c>
      <c r="T251" s="30">
        <f>6483680</f>
        <v>6483680</v>
      </c>
      <c r="U251" s="30">
        <f>1200830</f>
        <v>1200830</v>
      </c>
      <c r="V251" s="30">
        <f>16385832182</f>
        <v>16385832182</v>
      </c>
      <c r="W251" s="30">
        <f>3083292067</f>
        <v>3083292067</v>
      </c>
      <c r="X251" s="34">
        <f>22</f>
        <v>22</v>
      </c>
    </row>
    <row r="252" spans="1:24" x14ac:dyDescent="0.15">
      <c r="A252" s="25" t="s">
        <v>933</v>
      </c>
      <c r="B252" s="25" t="s">
        <v>784</v>
      </c>
      <c r="C252" s="25" t="s">
        <v>785</v>
      </c>
      <c r="D252" s="25" t="s">
        <v>786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2662</f>
        <v>2662</v>
      </c>
      <c r="L252" s="32" t="s">
        <v>904</v>
      </c>
      <c r="M252" s="31">
        <f>2810</f>
        <v>2810</v>
      </c>
      <c r="N252" s="32" t="s">
        <v>936</v>
      </c>
      <c r="O252" s="31">
        <f>2641</f>
        <v>2641</v>
      </c>
      <c r="P252" s="32" t="s">
        <v>70</v>
      </c>
      <c r="Q252" s="31">
        <f>2770</f>
        <v>2770</v>
      </c>
      <c r="R252" s="32" t="s">
        <v>818</v>
      </c>
      <c r="S252" s="33">
        <f>2709.59</f>
        <v>2709.59</v>
      </c>
      <c r="T252" s="30">
        <f>3401943</f>
        <v>3401943</v>
      </c>
      <c r="U252" s="30">
        <f>2149700</f>
        <v>2149700</v>
      </c>
      <c r="V252" s="30">
        <f>9224975409</f>
        <v>9224975409</v>
      </c>
      <c r="W252" s="30">
        <f>5829774730</f>
        <v>5829774730</v>
      </c>
      <c r="X252" s="34">
        <f>22</f>
        <v>22</v>
      </c>
    </row>
    <row r="253" spans="1:24" x14ac:dyDescent="0.15">
      <c r="A253" s="25" t="s">
        <v>933</v>
      </c>
      <c r="B253" s="25" t="s">
        <v>787</v>
      </c>
      <c r="C253" s="25" t="s">
        <v>788</v>
      </c>
      <c r="D253" s="25" t="s">
        <v>789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2116</f>
        <v>2116</v>
      </c>
      <c r="L253" s="32" t="s">
        <v>904</v>
      </c>
      <c r="M253" s="31">
        <f>2158</f>
        <v>2158</v>
      </c>
      <c r="N253" s="32" t="s">
        <v>909</v>
      </c>
      <c r="O253" s="31">
        <f>1935</f>
        <v>1935</v>
      </c>
      <c r="P253" s="32" t="s">
        <v>94</v>
      </c>
      <c r="Q253" s="31">
        <f>1999</f>
        <v>1999</v>
      </c>
      <c r="R253" s="32" t="s">
        <v>818</v>
      </c>
      <c r="S253" s="33">
        <f>2040.18</f>
        <v>2040.18</v>
      </c>
      <c r="T253" s="30">
        <f>4784733</f>
        <v>4784733</v>
      </c>
      <c r="U253" s="30">
        <f>1665027</f>
        <v>1665027</v>
      </c>
      <c r="V253" s="30">
        <f>9648143770</f>
        <v>9648143770</v>
      </c>
      <c r="W253" s="30">
        <f>3320171844</f>
        <v>3320171844</v>
      </c>
      <c r="X253" s="34">
        <f>22</f>
        <v>22</v>
      </c>
    </row>
    <row r="254" spans="1:24" x14ac:dyDescent="0.15">
      <c r="A254" s="25" t="s">
        <v>933</v>
      </c>
      <c r="B254" s="25" t="s">
        <v>790</v>
      </c>
      <c r="C254" s="25" t="s">
        <v>791</v>
      </c>
      <c r="D254" s="25" t="s">
        <v>792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2214</f>
        <v>2214</v>
      </c>
      <c r="L254" s="32" t="s">
        <v>904</v>
      </c>
      <c r="M254" s="31">
        <f>2232</f>
        <v>2232</v>
      </c>
      <c r="N254" s="32" t="s">
        <v>904</v>
      </c>
      <c r="O254" s="31">
        <f>2105</f>
        <v>2105</v>
      </c>
      <c r="P254" s="32" t="s">
        <v>915</v>
      </c>
      <c r="Q254" s="31">
        <f>2191</f>
        <v>2191</v>
      </c>
      <c r="R254" s="32" t="s">
        <v>818</v>
      </c>
      <c r="S254" s="33">
        <f>2162.82</f>
        <v>2162.8200000000002</v>
      </c>
      <c r="T254" s="30">
        <f>33709</f>
        <v>33709</v>
      </c>
      <c r="U254" s="30" t="str">
        <f>"－"</f>
        <v>－</v>
      </c>
      <c r="V254" s="30">
        <f>73468853</f>
        <v>73468853</v>
      </c>
      <c r="W254" s="30" t="str">
        <f>"－"</f>
        <v>－</v>
      </c>
      <c r="X254" s="34">
        <f>22</f>
        <v>22</v>
      </c>
    </row>
    <row r="255" spans="1:24" x14ac:dyDescent="0.15">
      <c r="A255" s="25" t="s">
        <v>933</v>
      </c>
      <c r="B255" s="25" t="s">
        <v>793</v>
      </c>
      <c r="C255" s="25" t="s">
        <v>794</v>
      </c>
      <c r="D255" s="25" t="s">
        <v>795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2448</f>
        <v>2448</v>
      </c>
      <c r="L255" s="32" t="s">
        <v>904</v>
      </c>
      <c r="M255" s="31">
        <f>2448</f>
        <v>2448</v>
      </c>
      <c r="N255" s="32" t="s">
        <v>904</v>
      </c>
      <c r="O255" s="31">
        <f>2352</f>
        <v>2352</v>
      </c>
      <c r="P255" s="32" t="s">
        <v>94</v>
      </c>
      <c r="Q255" s="31">
        <f>2358</f>
        <v>2358</v>
      </c>
      <c r="R255" s="32" t="s">
        <v>818</v>
      </c>
      <c r="S255" s="33">
        <f>2382.29</f>
        <v>2382.29</v>
      </c>
      <c r="T255" s="30">
        <f>13135</f>
        <v>13135</v>
      </c>
      <c r="U255" s="30" t="str">
        <f>"－"</f>
        <v>－</v>
      </c>
      <c r="V255" s="30">
        <f>31617303</f>
        <v>31617303</v>
      </c>
      <c r="W255" s="30" t="str">
        <f>"－"</f>
        <v>－</v>
      </c>
      <c r="X255" s="34">
        <f>21</f>
        <v>21</v>
      </c>
    </row>
    <row r="256" spans="1:24" x14ac:dyDescent="0.15">
      <c r="A256" s="25" t="s">
        <v>933</v>
      </c>
      <c r="B256" s="25" t="s">
        <v>796</v>
      </c>
      <c r="C256" s="25" t="s">
        <v>797</v>
      </c>
      <c r="D256" s="25" t="s">
        <v>798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2686</f>
        <v>2686</v>
      </c>
      <c r="L256" s="32" t="s">
        <v>904</v>
      </c>
      <c r="M256" s="31">
        <f>2851</f>
        <v>2851</v>
      </c>
      <c r="N256" s="32" t="s">
        <v>934</v>
      </c>
      <c r="O256" s="31">
        <f>2470</f>
        <v>2470</v>
      </c>
      <c r="P256" s="32" t="s">
        <v>911</v>
      </c>
      <c r="Q256" s="31">
        <f>2806</f>
        <v>2806</v>
      </c>
      <c r="R256" s="32" t="s">
        <v>818</v>
      </c>
      <c r="S256" s="33">
        <f>2661.86</f>
        <v>2661.86</v>
      </c>
      <c r="T256" s="30">
        <f>469369</f>
        <v>469369</v>
      </c>
      <c r="U256" s="30" t="str">
        <f>"－"</f>
        <v>－</v>
      </c>
      <c r="V256" s="30">
        <f>1223770700</f>
        <v>1223770700</v>
      </c>
      <c r="W256" s="30" t="str">
        <f>"－"</f>
        <v>－</v>
      </c>
      <c r="X256" s="34">
        <f>22</f>
        <v>22</v>
      </c>
    </row>
    <row r="257" spans="1:24" x14ac:dyDescent="0.15">
      <c r="A257" s="25" t="s">
        <v>933</v>
      </c>
      <c r="B257" s="25" t="s">
        <v>799</v>
      </c>
      <c r="C257" s="25" t="s">
        <v>800</v>
      </c>
      <c r="D257" s="25" t="s">
        <v>801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1906</f>
        <v>1906</v>
      </c>
      <c r="L257" s="32" t="s">
        <v>904</v>
      </c>
      <c r="M257" s="31">
        <f>2005</f>
        <v>2005</v>
      </c>
      <c r="N257" s="32" t="s">
        <v>934</v>
      </c>
      <c r="O257" s="31">
        <f>1755</f>
        <v>1755</v>
      </c>
      <c r="P257" s="32" t="s">
        <v>911</v>
      </c>
      <c r="Q257" s="31">
        <f>1969</f>
        <v>1969</v>
      </c>
      <c r="R257" s="32" t="s">
        <v>818</v>
      </c>
      <c r="S257" s="33">
        <f>1888.09</f>
        <v>1888.09</v>
      </c>
      <c r="T257" s="30">
        <f>362080</f>
        <v>362080</v>
      </c>
      <c r="U257" s="30">
        <f>200000</f>
        <v>200000</v>
      </c>
      <c r="V257" s="30">
        <f>656811305</f>
        <v>656811305</v>
      </c>
      <c r="W257" s="30">
        <f>359060000</f>
        <v>359060000</v>
      </c>
      <c r="X257" s="34">
        <f>22</f>
        <v>22</v>
      </c>
    </row>
    <row r="258" spans="1:24" x14ac:dyDescent="0.15">
      <c r="A258" s="25" t="s">
        <v>933</v>
      </c>
      <c r="B258" s="25" t="s">
        <v>802</v>
      </c>
      <c r="C258" s="25" t="s">
        <v>803</v>
      </c>
      <c r="D258" s="25" t="s">
        <v>804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1878</f>
        <v>1878</v>
      </c>
      <c r="L258" s="32" t="s">
        <v>904</v>
      </c>
      <c r="M258" s="31">
        <f>2032</f>
        <v>2032</v>
      </c>
      <c r="N258" s="32" t="s">
        <v>934</v>
      </c>
      <c r="O258" s="31">
        <f>1786</f>
        <v>1786</v>
      </c>
      <c r="P258" s="32" t="s">
        <v>912</v>
      </c>
      <c r="Q258" s="31">
        <f>1990</f>
        <v>1990</v>
      </c>
      <c r="R258" s="32" t="s">
        <v>818</v>
      </c>
      <c r="S258" s="33">
        <f>1898.14</f>
        <v>1898.14</v>
      </c>
      <c r="T258" s="30">
        <f>34490</f>
        <v>34490</v>
      </c>
      <c r="U258" s="30" t="str">
        <f>"－"</f>
        <v>－</v>
      </c>
      <c r="V258" s="30">
        <f>65746639</f>
        <v>65746639</v>
      </c>
      <c r="W258" s="30" t="str">
        <f>"－"</f>
        <v>－</v>
      </c>
      <c r="X258" s="34">
        <f>22</f>
        <v>22</v>
      </c>
    </row>
    <row r="259" spans="1:24" x14ac:dyDescent="0.15">
      <c r="A259" s="25" t="s">
        <v>933</v>
      </c>
      <c r="B259" s="25" t="s">
        <v>805</v>
      </c>
      <c r="C259" s="25" t="s">
        <v>806</v>
      </c>
      <c r="D259" s="25" t="s">
        <v>807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1705</f>
        <v>1705</v>
      </c>
      <c r="L259" s="32" t="s">
        <v>904</v>
      </c>
      <c r="M259" s="31">
        <f>1830</f>
        <v>1830</v>
      </c>
      <c r="N259" s="32" t="s">
        <v>934</v>
      </c>
      <c r="O259" s="31">
        <f>1596</f>
        <v>1596</v>
      </c>
      <c r="P259" s="32" t="s">
        <v>912</v>
      </c>
      <c r="Q259" s="31">
        <f>1776</f>
        <v>1776</v>
      </c>
      <c r="R259" s="32" t="s">
        <v>818</v>
      </c>
      <c r="S259" s="33">
        <f>1709.32</f>
        <v>1709.32</v>
      </c>
      <c r="T259" s="30">
        <f>25547</f>
        <v>25547</v>
      </c>
      <c r="U259" s="30" t="str">
        <f>"－"</f>
        <v>－</v>
      </c>
      <c r="V259" s="30">
        <f>43587615</f>
        <v>43587615</v>
      </c>
      <c r="W259" s="30" t="str">
        <f>"－"</f>
        <v>－</v>
      </c>
      <c r="X259" s="34">
        <f>22</f>
        <v>22</v>
      </c>
    </row>
    <row r="260" spans="1:24" x14ac:dyDescent="0.15">
      <c r="A260" s="25" t="s">
        <v>933</v>
      </c>
      <c r="B260" s="25" t="s">
        <v>824</v>
      </c>
      <c r="C260" s="25" t="s">
        <v>825</v>
      </c>
      <c r="D260" s="25" t="s">
        <v>826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2370</f>
        <v>2370</v>
      </c>
      <c r="L260" s="32" t="s">
        <v>904</v>
      </c>
      <c r="M260" s="31">
        <f>2370</f>
        <v>2370</v>
      </c>
      <c r="N260" s="32" t="s">
        <v>904</v>
      </c>
      <c r="O260" s="31">
        <f>2049</f>
        <v>2049</v>
      </c>
      <c r="P260" s="32" t="s">
        <v>911</v>
      </c>
      <c r="Q260" s="31">
        <f>2142</f>
        <v>2142</v>
      </c>
      <c r="R260" s="32" t="s">
        <v>818</v>
      </c>
      <c r="S260" s="33">
        <f>2176.91</f>
        <v>2176.91</v>
      </c>
      <c r="T260" s="30">
        <f>33297</f>
        <v>33297</v>
      </c>
      <c r="U260" s="30">
        <f>13</f>
        <v>13</v>
      </c>
      <c r="V260" s="30">
        <f>72228521</f>
        <v>72228521</v>
      </c>
      <c r="W260" s="30">
        <f>25389</f>
        <v>25389</v>
      </c>
      <c r="X260" s="34">
        <f>22</f>
        <v>22</v>
      </c>
    </row>
    <row r="261" spans="1:24" x14ac:dyDescent="0.15">
      <c r="A261" s="25" t="s">
        <v>933</v>
      </c>
      <c r="B261" s="25" t="s">
        <v>827</v>
      </c>
      <c r="C261" s="25" t="s">
        <v>828</v>
      </c>
      <c r="D261" s="25" t="s">
        <v>829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2642</f>
        <v>2642</v>
      </c>
      <c r="L261" s="32" t="s">
        <v>904</v>
      </c>
      <c r="M261" s="31">
        <f>2642</f>
        <v>2642</v>
      </c>
      <c r="N261" s="32" t="s">
        <v>904</v>
      </c>
      <c r="O261" s="31">
        <f>2222</f>
        <v>2222</v>
      </c>
      <c r="P261" s="32" t="s">
        <v>915</v>
      </c>
      <c r="Q261" s="31">
        <f>2500</f>
        <v>2500</v>
      </c>
      <c r="R261" s="32" t="s">
        <v>818</v>
      </c>
      <c r="S261" s="33">
        <f>2449.48</f>
        <v>2449.48</v>
      </c>
      <c r="T261" s="30">
        <f>14756</f>
        <v>14756</v>
      </c>
      <c r="U261" s="30" t="str">
        <f>"－"</f>
        <v>－</v>
      </c>
      <c r="V261" s="30">
        <f>35723383</f>
        <v>35723383</v>
      </c>
      <c r="W261" s="30" t="str">
        <f>"－"</f>
        <v>－</v>
      </c>
      <c r="X261" s="34">
        <f>21</f>
        <v>21</v>
      </c>
    </row>
    <row r="262" spans="1:24" x14ac:dyDescent="0.15">
      <c r="A262" s="25" t="s">
        <v>933</v>
      </c>
      <c r="B262" s="25" t="s">
        <v>830</v>
      </c>
      <c r="C262" s="25" t="s">
        <v>831</v>
      </c>
      <c r="D262" s="25" t="s">
        <v>832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11340</f>
        <v>11340</v>
      </c>
      <c r="L262" s="32" t="s">
        <v>904</v>
      </c>
      <c r="M262" s="31">
        <f>12015</f>
        <v>12015</v>
      </c>
      <c r="N262" s="32" t="s">
        <v>934</v>
      </c>
      <c r="O262" s="31">
        <f>10770</f>
        <v>10770</v>
      </c>
      <c r="P262" s="32" t="s">
        <v>915</v>
      </c>
      <c r="Q262" s="31">
        <f>11955</f>
        <v>11955</v>
      </c>
      <c r="R262" s="32" t="s">
        <v>818</v>
      </c>
      <c r="S262" s="33">
        <f>11328.18</f>
        <v>11328.18</v>
      </c>
      <c r="T262" s="30">
        <f>400501</f>
        <v>400501</v>
      </c>
      <c r="U262" s="30">
        <f>93530</f>
        <v>93530</v>
      </c>
      <c r="V262" s="30">
        <f>4485125605</f>
        <v>4485125605</v>
      </c>
      <c r="W262" s="30">
        <f>1054436290</f>
        <v>1054436290</v>
      </c>
      <c r="X262" s="34">
        <f>22</f>
        <v>22</v>
      </c>
    </row>
    <row r="263" spans="1:24" x14ac:dyDescent="0.15">
      <c r="A263" s="25" t="s">
        <v>933</v>
      </c>
      <c r="B263" s="25" t="s">
        <v>833</v>
      </c>
      <c r="C263" s="25" t="s">
        <v>834</v>
      </c>
      <c r="D263" s="25" t="s">
        <v>835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11810</f>
        <v>11810</v>
      </c>
      <c r="L263" s="32" t="s">
        <v>904</v>
      </c>
      <c r="M263" s="31">
        <f>13480</f>
        <v>13480</v>
      </c>
      <c r="N263" s="32" t="s">
        <v>934</v>
      </c>
      <c r="O263" s="31">
        <f>10960</f>
        <v>10960</v>
      </c>
      <c r="P263" s="32" t="s">
        <v>912</v>
      </c>
      <c r="Q263" s="31">
        <f>13290</f>
        <v>13290</v>
      </c>
      <c r="R263" s="32" t="s">
        <v>818</v>
      </c>
      <c r="S263" s="33">
        <f>12028.41</f>
        <v>12028.41</v>
      </c>
      <c r="T263" s="30">
        <f>831774</f>
        <v>831774</v>
      </c>
      <c r="U263" s="30">
        <f>7</f>
        <v>7</v>
      </c>
      <c r="V263" s="30">
        <f>10121465925</f>
        <v>10121465925</v>
      </c>
      <c r="W263" s="30">
        <f>83425</f>
        <v>83425</v>
      </c>
      <c r="X263" s="34">
        <f>22</f>
        <v>22</v>
      </c>
    </row>
    <row r="264" spans="1:24" x14ac:dyDescent="0.15">
      <c r="A264" s="25" t="s">
        <v>933</v>
      </c>
      <c r="B264" s="25" t="s">
        <v>836</v>
      </c>
      <c r="C264" s="25" t="s">
        <v>837</v>
      </c>
      <c r="D264" s="25" t="s">
        <v>838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10785</f>
        <v>10785</v>
      </c>
      <c r="L264" s="32" t="s">
        <v>904</v>
      </c>
      <c r="M264" s="31">
        <f>11550</f>
        <v>11550</v>
      </c>
      <c r="N264" s="32" t="s">
        <v>934</v>
      </c>
      <c r="O264" s="31">
        <f>9844</f>
        <v>9844</v>
      </c>
      <c r="P264" s="32" t="s">
        <v>915</v>
      </c>
      <c r="Q264" s="31">
        <f>11460</f>
        <v>11460</v>
      </c>
      <c r="R264" s="32" t="s">
        <v>818</v>
      </c>
      <c r="S264" s="33">
        <f>10651.32</f>
        <v>10651.32</v>
      </c>
      <c r="T264" s="30">
        <f>631040</f>
        <v>631040</v>
      </c>
      <c r="U264" s="30">
        <f>64306</f>
        <v>64306</v>
      </c>
      <c r="V264" s="30">
        <f>6677309628</f>
        <v>6677309628</v>
      </c>
      <c r="W264" s="30">
        <f>673051894</f>
        <v>673051894</v>
      </c>
      <c r="X264" s="34">
        <f>22</f>
        <v>22</v>
      </c>
    </row>
    <row r="265" spans="1:24" x14ac:dyDescent="0.15">
      <c r="A265" s="25" t="s">
        <v>933</v>
      </c>
      <c r="B265" s="25" t="s">
        <v>839</v>
      </c>
      <c r="C265" s="25" t="s">
        <v>840</v>
      </c>
      <c r="D265" s="25" t="s">
        <v>841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2340</f>
        <v>2340</v>
      </c>
      <c r="L265" s="32" t="s">
        <v>904</v>
      </c>
      <c r="M265" s="31">
        <f>2640.5</f>
        <v>2640.5</v>
      </c>
      <c r="N265" s="32" t="s">
        <v>934</v>
      </c>
      <c r="O265" s="31">
        <f>2233</f>
        <v>2233</v>
      </c>
      <c r="P265" s="32" t="s">
        <v>911</v>
      </c>
      <c r="Q265" s="31">
        <f>2605</f>
        <v>2605</v>
      </c>
      <c r="R265" s="32" t="s">
        <v>818</v>
      </c>
      <c r="S265" s="33">
        <f>2406.11</f>
        <v>2406.11</v>
      </c>
      <c r="T265" s="30">
        <f>1771140</f>
        <v>1771140</v>
      </c>
      <c r="U265" s="30">
        <f>17460</f>
        <v>17460</v>
      </c>
      <c r="V265" s="30">
        <f>4268175064</f>
        <v>4268175064</v>
      </c>
      <c r="W265" s="30">
        <f>40117544</f>
        <v>40117544</v>
      </c>
      <c r="X265" s="34">
        <f>22</f>
        <v>22</v>
      </c>
    </row>
    <row r="266" spans="1:24" x14ac:dyDescent="0.15">
      <c r="A266" s="25" t="s">
        <v>933</v>
      </c>
      <c r="B266" s="25" t="s">
        <v>842</v>
      </c>
      <c r="C266" s="25" t="s">
        <v>843</v>
      </c>
      <c r="D266" s="25" t="s">
        <v>844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2220</f>
        <v>2220</v>
      </c>
      <c r="L266" s="32" t="s">
        <v>904</v>
      </c>
      <c r="M266" s="31">
        <f>2345.5</f>
        <v>2345.5</v>
      </c>
      <c r="N266" s="32" t="s">
        <v>934</v>
      </c>
      <c r="O266" s="31">
        <f>2101</f>
        <v>2101</v>
      </c>
      <c r="P266" s="32" t="s">
        <v>915</v>
      </c>
      <c r="Q266" s="31">
        <f>2334.5</f>
        <v>2334.5</v>
      </c>
      <c r="R266" s="32" t="s">
        <v>818</v>
      </c>
      <c r="S266" s="33">
        <f>2213.61</f>
        <v>2213.61</v>
      </c>
      <c r="T266" s="30">
        <f>4715340</f>
        <v>4715340</v>
      </c>
      <c r="U266" s="30">
        <f>1415260</f>
        <v>1415260</v>
      </c>
      <c r="V266" s="30">
        <f>10306265995</f>
        <v>10306265995</v>
      </c>
      <c r="W266" s="30">
        <f>3086598820</f>
        <v>3086598820</v>
      </c>
      <c r="X266" s="34">
        <f>22</f>
        <v>22</v>
      </c>
    </row>
    <row r="267" spans="1:24" x14ac:dyDescent="0.15">
      <c r="A267" s="25" t="s">
        <v>933</v>
      </c>
      <c r="B267" s="25" t="s">
        <v>845</v>
      </c>
      <c r="C267" s="25" t="s">
        <v>846</v>
      </c>
      <c r="D267" s="25" t="s">
        <v>847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2407</f>
        <v>2407</v>
      </c>
      <c r="L267" s="32" t="s">
        <v>904</v>
      </c>
      <c r="M267" s="31">
        <f>2713</f>
        <v>2713</v>
      </c>
      <c r="N267" s="32" t="s">
        <v>934</v>
      </c>
      <c r="O267" s="31">
        <f>2289.5</f>
        <v>2289.5</v>
      </c>
      <c r="P267" s="32" t="s">
        <v>911</v>
      </c>
      <c r="Q267" s="31">
        <f>2683.5</f>
        <v>2683.5</v>
      </c>
      <c r="R267" s="32" t="s">
        <v>818</v>
      </c>
      <c r="S267" s="33">
        <f>2471.45</f>
        <v>2471.4499999999998</v>
      </c>
      <c r="T267" s="30">
        <f>689030</f>
        <v>689030</v>
      </c>
      <c r="U267" s="30">
        <f>80000</f>
        <v>80000</v>
      </c>
      <c r="V267" s="30">
        <f>1759201435</f>
        <v>1759201435</v>
      </c>
      <c r="W267" s="30">
        <f>192352000</f>
        <v>192352000</v>
      </c>
      <c r="X267" s="34">
        <f>22</f>
        <v>22</v>
      </c>
    </row>
    <row r="268" spans="1:24" x14ac:dyDescent="0.15">
      <c r="A268" s="25" t="s">
        <v>933</v>
      </c>
      <c r="B268" s="25" t="s">
        <v>848</v>
      </c>
      <c r="C268" s="25" t="s">
        <v>849</v>
      </c>
      <c r="D268" s="25" t="s">
        <v>850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2527</f>
        <v>2527</v>
      </c>
      <c r="L268" s="32" t="s">
        <v>904</v>
      </c>
      <c r="M268" s="31">
        <f>2664</f>
        <v>2664</v>
      </c>
      <c r="N268" s="32" t="s">
        <v>934</v>
      </c>
      <c r="O268" s="31">
        <f>2340</f>
        <v>2340</v>
      </c>
      <c r="P268" s="32" t="s">
        <v>911</v>
      </c>
      <c r="Q268" s="31">
        <f>2619</f>
        <v>2619</v>
      </c>
      <c r="R268" s="32" t="s">
        <v>818</v>
      </c>
      <c r="S268" s="33">
        <f>2497.05</f>
        <v>2497.0500000000002</v>
      </c>
      <c r="T268" s="30">
        <f>32646</f>
        <v>32646</v>
      </c>
      <c r="U268" s="30" t="str">
        <f>"－"</f>
        <v>－</v>
      </c>
      <c r="V268" s="30">
        <f>79064523</f>
        <v>79064523</v>
      </c>
      <c r="W268" s="30" t="str">
        <f>"－"</f>
        <v>－</v>
      </c>
      <c r="X268" s="34">
        <f>21</f>
        <v>21</v>
      </c>
    </row>
    <row r="269" spans="1:24" x14ac:dyDescent="0.15">
      <c r="A269" s="25" t="s">
        <v>933</v>
      </c>
      <c r="B269" s="25" t="s">
        <v>851</v>
      </c>
      <c r="C269" s="25" t="s">
        <v>852</v>
      </c>
      <c r="D269" s="25" t="s">
        <v>853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1566</f>
        <v>1566</v>
      </c>
      <c r="L269" s="32" t="s">
        <v>904</v>
      </c>
      <c r="M269" s="31">
        <f>1620</f>
        <v>1620</v>
      </c>
      <c r="N269" s="32" t="s">
        <v>815</v>
      </c>
      <c r="O269" s="31">
        <f>1416</f>
        <v>1416</v>
      </c>
      <c r="P269" s="32" t="s">
        <v>912</v>
      </c>
      <c r="Q269" s="31">
        <f>1589</f>
        <v>1589</v>
      </c>
      <c r="R269" s="32" t="s">
        <v>818</v>
      </c>
      <c r="S269" s="33">
        <f>1529.86</f>
        <v>1529.86</v>
      </c>
      <c r="T269" s="30">
        <f>285152</f>
        <v>285152</v>
      </c>
      <c r="U269" s="30" t="str">
        <f>"－"</f>
        <v>－</v>
      </c>
      <c r="V269" s="30">
        <f>422281461</f>
        <v>422281461</v>
      </c>
      <c r="W269" s="30" t="str">
        <f>"－"</f>
        <v>－</v>
      </c>
      <c r="X269" s="34">
        <f>22</f>
        <v>22</v>
      </c>
    </row>
    <row r="270" spans="1:24" x14ac:dyDescent="0.15">
      <c r="A270" s="25" t="s">
        <v>933</v>
      </c>
      <c r="B270" s="25" t="s">
        <v>854</v>
      </c>
      <c r="C270" s="25" t="s">
        <v>855</v>
      </c>
      <c r="D270" s="25" t="s">
        <v>856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1938</f>
        <v>1938</v>
      </c>
      <c r="L270" s="32" t="s">
        <v>904</v>
      </c>
      <c r="M270" s="31">
        <f>2020</f>
        <v>2020</v>
      </c>
      <c r="N270" s="32" t="s">
        <v>934</v>
      </c>
      <c r="O270" s="31">
        <f>1711</f>
        <v>1711</v>
      </c>
      <c r="P270" s="32" t="s">
        <v>912</v>
      </c>
      <c r="Q270" s="31">
        <f>1982</f>
        <v>1982</v>
      </c>
      <c r="R270" s="32" t="s">
        <v>818</v>
      </c>
      <c r="S270" s="33">
        <f>1868.41</f>
        <v>1868.41</v>
      </c>
      <c r="T270" s="30">
        <f>27084</f>
        <v>27084</v>
      </c>
      <c r="U270" s="30" t="str">
        <f>"－"</f>
        <v>－</v>
      </c>
      <c r="V270" s="30">
        <f>49713154</f>
        <v>49713154</v>
      </c>
      <c r="W270" s="30" t="str">
        <f>"－"</f>
        <v>－</v>
      </c>
      <c r="X270" s="34">
        <f>22</f>
        <v>22</v>
      </c>
    </row>
    <row r="271" spans="1:24" x14ac:dyDescent="0.15">
      <c r="A271" s="25" t="s">
        <v>933</v>
      </c>
      <c r="B271" s="25" t="s">
        <v>857</v>
      </c>
      <c r="C271" s="25" t="s">
        <v>858</v>
      </c>
      <c r="D271" s="25" t="s">
        <v>859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1600</f>
        <v>1600</v>
      </c>
      <c r="L271" s="32" t="s">
        <v>904</v>
      </c>
      <c r="M271" s="31">
        <f>1633</f>
        <v>1633</v>
      </c>
      <c r="N271" s="32" t="s">
        <v>934</v>
      </c>
      <c r="O271" s="31">
        <f>1462</f>
        <v>1462</v>
      </c>
      <c r="P271" s="32" t="s">
        <v>915</v>
      </c>
      <c r="Q271" s="31">
        <f>1599</f>
        <v>1599</v>
      </c>
      <c r="R271" s="32" t="s">
        <v>818</v>
      </c>
      <c r="S271" s="33">
        <f>1548.45</f>
        <v>1548.45</v>
      </c>
      <c r="T271" s="30">
        <f>59105</f>
        <v>59105</v>
      </c>
      <c r="U271" s="30" t="str">
        <f>"－"</f>
        <v>－</v>
      </c>
      <c r="V271" s="30">
        <f>88656762</f>
        <v>88656762</v>
      </c>
      <c r="W271" s="30" t="str">
        <f>"－"</f>
        <v>－</v>
      </c>
      <c r="X271" s="34">
        <f>22</f>
        <v>22</v>
      </c>
    </row>
    <row r="272" spans="1:24" x14ac:dyDescent="0.15">
      <c r="A272" s="25" t="s">
        <v>933</v>
      </c>
      <c r="B272" s="25" t="s">
        <v>860</v>
      </c>
      <c r="C272" s="25" t="s">
        <v>861</v>
      </c>
      <c r="D272" s="25" t="s">
        <v>862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2465</f>
        <v>2465</v>
      </c>
      <c r="L272" s="32" t="s">
        <v>904</v>
      </c>
      <c r="M272" s="31">
        <f>2732</f>
        <v>2732</v>
      </c>
      <c r="N272" s="32" t="s">
        <v>934</v>
      </c>
      <c r="O272" s="31">
        <f>2324</f>
        <v>2324</v>
      </c>
      <c r="P272" s="32" t="s">
        <v>912</v>
      </c>
      <c r="Q272" s="31">
        <f>2644</f>
        <v>2644</v>
      </c>
      <c r="R272" s="32" t="s">
        <v>818</v>
      </c>
      <c r="S272" s="33">
        <f>2526.09</f>
        <v>2526.09</v>
      </c>
      <c r="T272" s="30">
        <f>103197</f>
        <v>103197</v>
      </c>
      <c r="U272" s="30">
        <f>1</f>
        <v>1</v>
      </c>
      <c r="V272" s="30">
        <f>263910719</f>
        <v>263910719</v>
      </c>
      <c r="W272" s="30">
        <f>2648</f>
        <v>2648</v>
      </c>
      <c r="X272" s="34">
        <f>22</f>
        <v>22</v>
      </c>
    </row>
    <row r="273" spans="1:24" x14ac:dyDescent="0.15">
      <c r="A273" s="25" t="s">
        <v>933</v>
      </c>
      <c r="B273" s="25" t="s">
        <v>863</v>
      </c>
      <c r="C273" s="25" t="s">
        <v>864</v>
      </c>
      <c r="D273" s="25" t="s">
        <v>865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1950</f>
        <v>1950</v>
      </c>
      <c r="L273" s="32" t="s">
        <v>904</v>
      </c>
      <c r="M273" s="31">
        <f>2120</f>
        <v>2120</v>
      </c>
      <c r="N273" s="32" t="s">
        <v>934</v>
      </c>
      <c r="O273" s="31">
        <f>1794</f>
        <v>1794</v>
      </c>
      <c r="P273" s="32" t="s">
        <v>821</v>
      </c>
      <c r="Q273" s="31">
        <f>2095</f>
        <v>2095</v>
      </c>
      <c r="R273" s="32" t="s">
        <v>818</v>
      </c>
      <c r="S273" s="33">
        <f>1961.41</f>
        <v>1961.41</v>
      </c>
      <c r="T273" s="30">
        <f>167003</f>
        <v>167003</v>
      </c>
      <c r="U273" s="30" t="str">
        <f>"－"</f>
        <v>－</v>
      </c>
      <c r="V273" s="30">
        <f>325212761</f>
        <v>325212761</v>
      </c>
      <c r="W273" s="30" t="str">
        <f>"－"</f>
        <v>－</v>
      </c>
      <c r="X273" s="34">
        <f>22</f>
        <v>22</v>
      </c>
    </row>
    <row r="274" spans="1:24" x14ac:dyDescent="0.15">
      <c r="A274" s="25" t="s">
        <v>933</v>
      </c>
      <c r="B274" s="25" t="s">
        <v>866</v>
      </c>
      <c r="C274" s="25" t="s">
        <v>867</v>
      </c>
      <c r="D274" s="25" t="s">
        <v>868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24500</f>
        <v>24500</v>
      </c>
      <c r="L274" s="32" t="s">
        <v>811</v>
      </c>
      <c r="M274" s="31">
        <f>26325</f>
        <v>26325</v>
      </c>
      <c r="N274" s="32" t="s">
        <v>815</v>
      </c>
      <c r="O274" s="31">
        <f>23320</f>
        <v>23320</v>
      </c>
      <c r="P274" s="32" t="s">
        <v>911</v>
      </c>
      <c r="Q274" s="31">
        <f>26085</f>
        <v>26085</v>
      </c>
      <c r="R274" s="32" t="s">
        <v>818</v>
      </c>
      <c r="S274" s="33">
        <f>24982.5</f>
        <v>24982.5</v>
      </c>
      <c r="T274" s="30">
        <f>44</f>
        <v>44</v>
      </c>
      <c r="U274" s="30" t="str">
        <f>"－"</f>
        <v>－</v>
      </c>
      <c r="V274" s="30">
        <f>1122095</f>
        <v>1122095</v>
      </c>
      <c r="W274" s="30" t="str">
        <f>"－"</f>
        <v>－</v>
      </c>
      <c r="X274" s="34">
        <f>10</f>
        <v>10</v>
      </c>
    </row>
    <row r="275" spans="1:24" x14ac:dyDescent="0.15">
      <c r="A275" s="25" t="s">
        <v>933</v>
      </c>
      <c r="B275" s="25" t="s">
        <v>869</v>
      </c>
      <c r="C275" s="25" t="s">
        <v>870</v>
      </c>
      <c r="D275" s="25" t="s">
        <v>871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1990</f>
        <v>1990</v>
      </c>
      <c r="L275" s="32" t="s">
        <v>904</v>
      </c>
      <c r="M275" s="31">
        <f>2110</f>
        <v>2110</v>
      </c>
      <c r="N275" s="32" t="s">
        <v>934</v>
      </c>
      <c r="O275" s="31">
        <f>1842</f>
        <v>1842</v>
      </c>
      <c r="P275" s="32" t="s">
        <v>911</v>
      </c>
      <c r="Q275" s="31">
        <f>2081</f>
        <v>2081</v>
      </c>
      <c r="R275" s="32" t="s">
        <v>818</v>
      </c>
      <c r="S275" s="33">
        <f>1984.05</f>
        <v>1984.05</v>
      </c>
      <c r="T275" s="30">
        <f>6256</f>
        <v>6256</v>
      </c>
      <c r="U275" s="30" t="str">
        <f>"－"</f>
        <v>－</v>
      </c>
      <c r="V275" s="30">
        <f>12192029</f>
        <v>12192029</v>
      </c>
      <c r="W275" s="30" t="str">
        <f>"－"</f>
        <v>－</v>
      </c>
      <c r="X275" s="34">
        <f>22</f>
        <v>22</v>
      </c>
    </row>
    <row r="276" spans="1:24" x14ac:dyDescent="0.15">
      <c r="A276" s="25" t="s">
        <v>933</v>
      </c>
      <c r="B276" s="25" t="s">
        <v>872</v>
      </c>
      <c r="C276" s="25" t="s">
        <v>873</v>
      </c>
      <c r="D276" s="25" t="s">
        <v>874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2205</f>
        <v>2205</v>
      </c>
      <c r="L276" s="32" t="s">
        <v>904</v>
      </c>
      <c r="M276" s="31">
        <f>2332</f>
        <v>2332</v>
      </c>
      <c r="N276" s="32" t="s">
        <v>936</v>
      </c>
      <c r="O276" s="31">
        <f>1892</f>
        <v>1892</v>
      </c>
      <c r="P276" s="32" t="s">
        <v>912</v>
      </c>
      <c r="Q276" s="31">
        <f>2297</f>
        <v>2297</v>
      </c>
      <c r="R276" s="32" t="s">
        <v>818</v>
      </c>
      <c r="S276" s="33">
        <f>2131.09</f>
        <v>2131.09</v>
      </c>
      <c r="T276" s="30">
        <f>275030</f>
        <v>275030</v>
      </c>
      <c r="U276" s="30">
        <f>2</f>
        <v>2</v>
      </c>
      <c r="V276" s="30">
        <f>580671789</f>
        <v>580671789</v>
      </c>
      <c r="W276" s="30">
        <f>4556</f>
        <v>4556</v>
      </c>
      <c r="X276" s="34">
        <f>22</f>
        <v>22</v>
      </c>
    </row>
    <row r="277" spans="1:24" x14ac:dyDescent="0.15">
      <c r="A277" s="25" t="s">
        <v>933</v>
      </c>
      <c r="B277" s="25" t="s">
        <v>875</v>
      </c>
      <c r="C277" s="25" t="s">
        <v>876</v>
      </c>
      <c r="D277" s="25" t="s">
        <v>877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1895</f>
        <v>1895</v>
      </c>
      <c r="L277" s="32" t="s">
        <v>904</v>
      </c>
      <c r="M277" s="31">
        <f>2027</f>
        <v>2027</v>
      </c>
      <c r="N277" s="32" t="s">
        <v>815</v>
      </c>
      <c r="O277" s="31">
        <f>1747</f>
        <v>1747</v>
      </c>
      <c r="P277" s="32" t="s">
        <v>911</v>
      </c>
      <c r="Q277" s="31">
        <f>1978</f>
        <v>1978</v>
      </c>
      <c r="R277" s="32" t="s">
        <v>818</v>
      </c>
      <c r="S277" s="33">
        <f>1900</f>
        <v>1900</v>
      </c>
      <c r="T277" s="30">
        <f>23902</f>
        <v>23902</v>
      </c>
      <c r="U277" s="30" t="str">
        <f>"－"</f>
        <v>－</v>
      </c>
      <c r="V277" s="30">
        <f>44564541</f>
        <v>44564541</v>
      </c>
      <c r="W277" s="30" t="str">
        <f>"－"</f>
        <v>－</v>
      </c>
      <c r="X277" s="34">
        <f>22</f>
        <v>22</v>
      </c>
    </row>
    <row r="278" spans="1:24" x14ac:dyDescent="0.15">
      <c r="A278" s="25" t="s">
        <v>933</v>
      </c>
      <c r="B278" s="25" t="s">
        <v>878</v>
      </c>
      <c r="C278" s="25" t="s">
        <v>879</v>
      </c>
      <c r="D278" s="25" t="s">
        <v>880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1454</f>
        <v>1454</v>
      </c>
      <c r="L278" s="32" t="s">
        <v>904</v>
      </c>
      <c r="M278" s="31">
        <f>1580</f>
        <v>1580</v>
      </c>
      <c r="N278" s="32" t="s">
        <v>94</v>
      </c>
      <c r="O278" s="31">
        <f>1380</f>
        <v>1380</v>
      </c>
      <c r="P278" s="32" t="s">
        <v>911</v>
      </c>
      <c r="Q278" s="31">
        <f>1555</f>
        <v>1555</v>
      </c>
      <c r="R278" s="32" t="s">
        <v>818</v>
      </c>
      <c r="S278" s="33">
        <f>1479.45</f>
        <v>1479.45</v>
      </c>
      <c r="T278" s="30">
        <f>55433</f>
        <v>55433</v>
      </c>
      <c r="U278" s="30" t="str">
        <f>"－"</f>
        <v>－</v>
      </c>
      <c r="V278" s="30">
        <f>81868391</f>
        <v>81868391</v>
      </c>
      <c r="W278" s="30" t="str">
        <f>"－"</f>
        <v>－</v>
      </c>
      <c r="X278" s="34">
        <f>22</f>
        <v>22</v>
      </c>
    </row>
    <row r="279" spans="1:24" x14ac:dyDescent="0.15">
      <c r="A279" s="25" t="s">
        <v>933</v>
      </c>
      <c r="B279" s="25" t="s">
        <v>881</v>
      </c>
      <c r="C279" s="25" t="s">
        <v>882</v>
      </c>
      <c r="D279" s="25" t="s">
        <v>883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4972</f>
        <v>4972</v>
      </c>
      <c r="L279" s="32" t="s">
        <v>904</v>
      </c>
      <c r="M279" s="31">
        <f>5017</f>
        <v>5017</v>
      </c>
      <c r="N279" s="32" t="s">
        <v>909</v>
      </c>
      <c r="O279" s="31">
        <f>4953</f>
        <v>4953</v>
      </c>
      <c r="P279" s="32" t="s">
        <v>821</v>
      </c>
      <c r="Q279" s="31">
        <f>5008</f>
        <v>5008</v>
      </c>
      <c r="R279" s="32" t="s">
        <v>94</v>
      </c>
      <c r="S279" s="33">
        <f>4994.57</f>
        <v>4994.57</v>
      </c>
      <c r="T279" s="30">
        <f>214700</f>
        <v>214700</v>
      </c>
      <c r="U279" s="30">
        <f>12030</f>
        <v>12030</v>
      </c>
      <c r="V279" s="30">
        <f>1069794593</f>
        <v>1069794593</v>
      </c>
      <c r="W279" s="30">
        <f>59964283</f>
        <v>59964283</v>
      </c>
      <c r="X279" s="34">
        <f>7</f>
        <v>7</v>
      </c>
    </row>
    <row r="280" spans="1:24" x14ac:dyDescent="0.15">
      <c r="A280" s="25" t="s">
        <v>933</v>
      </c>
      <c r="B280" s="25" t="s">
        <v>884</v>
      </c>
      <c r="C280" s="25" t="s">
        <v>885</v>
      </c>
      <c r="D280" s="25" t="s">
        <v>886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4946</f>
        <v>4946</v>
      </c>
      <c r="L280" s="32" t="s">
        <v>909</v>
      </c>
      <c r="M280" s="31">
        <f>4957</f>
        <v>4957</v>
      </c>
      <c r="N280" s="32" t="s">
        <v>70</v>
      </c>
      <c r="O280" s="31">
        <f>4598</f>
        <v>4598</v>
      </c>
      <c r="P280" s="32" t="s">
        <v>94</v>
      </c>
      <c r="Q280" s="31">
        <f>4612</f>
        <v>4612</v>
      </c>
      <c r="R280" s="32" t="s">
        <v>936</v>
      </c>
      <c r="S280" s="33">
        <f>4774.09</f>
        <v>4774.09</v>
      </c>
      <c r="T280" s="30">
        <f>872650</f>
        <v>872650</v>
      </c>
      <c r="U280" s="30">
        <f>647240</f>
        <v>647240</v>
      </c>
      <c r="V280" s="30">
        <f>4135911018</f>
        <v>4135911018</v>
      </c>
      <c r="W280" s="30">
        <f>3046649128</f>
        <v>3046649128</v>
      </c>
      <c r="X280" s="34">
        <f>11</f>
        <v>11</v>
      </c>
    </row>
    <row r="281" spans="1:24" x14ac:dyDescent="0.15">
      <c r="A281" s="25" t="s">
        <v>933</v>
      </c>
      <c r="B281" s="25" t="s">
        <v>887</v>
      </c>
      <c r="C281" s="25" t="s">
        <v>888</v>
      </c>
      <c r="D281" s="25" t="s">
        <v>889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792.1</f>
        <v>792.1</v>
      </c>
      <c r="L281" s="32" t="s">
        <v>904</v>
      </c>
      <c r="M281" s="31">
        <f>796.1</f>
        <v>796.1</v>
      </c>
      <c r="N281" s="32" t="s">
        <v>909</v>
      </c>
      <c r="O281" s="31">
        <f>762.7</f>
        <v>762.7</v>
      </c>
      <c r="P281" s="32" t="s">
        <v>94</v>
      </c>
      <c r="Q281" s="31">
        <f>771</f>
        <v>771</v>
      </c>
      <c r="R281" s="32" t="s">
        <v>934</v>
      </c>
      <c r="S281" s="33">
        <f>779.99</f>
        <v>779.99</v>
      </c>
      <c r="T281" s="30">
        <f>694430</f>
        <v>694430</v>
      </c>
      <c r="U281" s="30">
        <f>392000</f>
        <v>392000</v>
      </c>
      <c r="V281" s="30">
        <f>532413697</f>
        <v>532413697</v>
      </c>
      <c r="W281" s="30">
        <f>299684000</f>
        <v>299684000</v>
      </c>
      <c r="X281" s="34">
        <f>18</f>
        <v>18</v>
      </c>
    </row>
    <row r="282" spans="1:24" x14ac:dyDescent="0.15">
      <c r="A282" s="25" t="s">
        <v>933</v>
      </c>
      <c r="B282" s="25" t="s">
        <v>891</v>
      </c>
      <c r="C282" s="25" t="s">
        <v>892</v>
      </c>
      <c r="D282" s="25" t="s">
        <v>893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2172</f>
        <v>2172</v>
      </c>
      <c r="L282" s="32" t="s">
        <v>904</v>
      </c>
      <c r="M282" s="31">
        <f>2382</f>
        <v>2382</v>
      </c>
      <c r="N282" s="32" t="s">
        <v>934</v>
      </c>
      <c r="O282" s="31">
        <f>2027</f>
        <v>2027</v>
      </c>
      <c r="P282" s="32" t="s">
        <v>70</v>
      </c>
      <c r="Q282" s="31">
        <f>2341</f>
        <v>2341</v>
      </c>
      <c r="R282" s="32" t="s">
        <v>818</v>
      </c>
      <c r="S282" s="33">
        <f>2208.55</f>
        <v>2208.5500000000002</v>
      </c>
      <c r="T282" s="30">
        <f>34470</f>
        <v>34470</v>
      </c>
      <c r="U282" s="30" t="str">
        <f t="shared" ref="U282:U287" si="5">"－"</f>
        <v>－</v>
      </c>
      <c r="V282" s="30">
        <f>78776574</f>
        <v>78776574</v>
      </c>
      <c r="W282" s="30" t="str">
        <f t="shared" ref="W282:W287" si="6">"－"</f>
        <v>－</v>
      </c>
      <c r="X282" s="34">
        <f>20</f>
        <v>20</v>
      </c>
    </row>
    <row r="283" spans="1:24" x14ac:dyDescent="0.15">
      <c r="A283" s="25" t="s">
        <v>933</v>
      </c>
      <c r="B283" s="25" t="s">
        <v>894</v>
      </c>
      <c r="C283" s="25" t="s">
        <v>895</v>
      </c>
      <c r="D283" s="25" t="s">
        <v>896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1860</f>
        <v>1860</v>
      </c>
      <c r="L283" s="32" t="s">
        <v>904</v>
      </c>
      <c r="M283" s="31">
        <f>1947</f>
        <v>1947</v>
      </c>
      <c r="N283" s="32" t="s">
        <v>934</v>
      </c>
      <c r="O283" s="31">
        <f>1711</f>
        <v>1711</v>
      </c>
      <c r="P283" s="32" t="s">
        <v>912</v>
      </c>
      <c r="Q283" s="31">
        <f>1913</f>
        <v>1913</v>
      </c>
      <c r="R283" s="32" t="s">
        <v>818</v>
      </c>
      <c r="S283" s="33">
        <f>1829.67</f>
        <v>1829.67</v>
      </c>
      <c r="T283" s="30">
        <f>2787</f>
        <v>2787</v>
      </c>
      <c r="U283" s="30" t="str">
        <f t="shared" si="5"/>
        <v>－</v>
      </c>
      <c r="V283" s="30">
        <f>4939329</f>
        <v>4939329</v>
      </c>
      <c r="W283" s="30" t="str">
        <f t="shared" si="6"/>
        <v>－</v>
      </c>
      <c r="X283" s="34">
        <f>21</f>
        <v>21</v>
      </c>
    </row>
    <row r="284" spans="1:24" x14ac:dyDescent="0.15">
      <c r="A284" s="25" t="s">
        <v>933</v>
      </c>
      <c r="B284" s="25" t="s">
        <v>897</v>
      </c>
      <c r="C284" s="25" t="s">
        <v>898</v>
      </c>
      <c r="D284" s="25" t="s">
        <v>899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7395</f>
        <v>7395</v>
      </c>
      <c r="L284" s="32" t="s">
        <v>904</v>
      </c>
      <c r="M284" s="31">
        <f>7576</f>
        <v>7576</v>
      </c>
      <c r="N284" s="32" t="s">
        <v>936</v>
      </c>
      <c r="O284" s="31">
        <f>7390</f>
        <v>7390</v>
      </c>
      <c r="P284" s="32" t="s">
        <v>821</v>
      </c>
      <c r="Q284" s="31">
        <f>7519</f>
        <v>7519</v>
      </c>
      <c r="R284" s="32" t="s">
        <v>818</v>
      </c>
      <c r="S284" s="33">
        <f>7454.35</f>
        <v>7454.35</v>
      </c>
      <c r="T284" s="30">
        <f>119072</f>
        <v>119072</v>
      </c>
      <c r="U284" s="30" t="str">
        <f t="shared" si="5"/>
        <v>－</v>
      </c>
      <c r="V284" s="30">
        <f>893135499</f>
        <v>893135499</v>
      </c>
      <c r="W284" s="30" t="str">
        <f t="shared" si="6"/>
        <v>－</v>
      </c>
      <c r="X284" s="34">
        <f>17</f>
        <v>17</v>
      </c>
    </row>
    <row r="285" spans="1:24" x14ac:dyDescent="0.15">
      <c r="A285" s="25" t="s">
        <v>933</v>
      </c>
      <c r="B285" s="25" t="s">
        <v>900</v>
      </c>
      <c r="C285" s="25" t="s">
        <v>901</v>
      </c>
      <c r="D285" s="25" t="s">
        <v>902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7277</f>
        <v>7277</v>
      </c>
      <c r="L285" s="32" t="s">
        <v>904</v>
      </c>
      <c r="M285" s="31">
        <f>7388</f>
        <v>7388</v>
      </c>
      <c r="N285" s="32" t="s">
        <v>70</v>
      </c>
      <c r="O285" s="31">
        <f>6849</f>
        <v>6849</v>
      </c>
      <c r="P285" s="32" t="s">
        <v>94</v>
      </c>
      <c r="Q285" s="31">
        <f>6962</f>
        <v>6962</v>
      </c>
      <c r="R285" s="32" t="s">
        <v>818</v>
      </c>
      <c r="S285" s="33">
        <f>7117.25</f>
        <v>7117.25</v>
      </c>
      <c r="T285" s="30">
        <f>62052</f>
        <v>62052</v>
      </c>
      <c r="U285" s="30" t="str">
        <f t="shared" si="5"/>
        <v>－</v>
      </c>
      <c r="V285" s="30">
        <f>445216440</f>
        <v>445216440</v>
      </c>
      <c r="W285" s="30" t="str">
        <f t="shared" si="6"/>
        <v>－</v>
      </c>
      <c r="X285" s="34">
        <f>16</f>
        <v>16</v>
      </c>
    </row>
    <row r="286" spans="1:24" x14ac:dyDescent="0.15">
      <c r="A286" s="25" t="s">
        <v>933</v>
      </c>
      <c r="B286" s="25" t="s">
        <v>916</v>
      </c>
      <c r="C286" s="25" t="s">
        <v>917</v>
      </c>
      <c r="D286" s="25" t="s">
        <v>918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15455</f>
        <v>15455</v>
      </c>
      <c r="L286" s="32" t="s">
        <v>904</v>
      </c>
      <c r="M286" s="31">
        <f>17645</f>
        <v>17645</v>
      </c>
      <c r="N286" s="32" t="s">
        <v>934</v>
      </c>
      <c r="O286" s="31">
        <f>14350</f>
        <v>14350</v>
      </c>
      <c r="P286" s="32" t="s">
        <v>912</v>
      </c>
      <c r="Q286" s="31">
        <f>17380</f>
        <v>17380</v>
      </c>
      <c r="R286" s="32" t="s">
        <v>818</v>
      </c>
      <c r="S286" s="33">
        <f>15740.23</f>
        <v>15740.23</v>
      </c>
      <c r="T286" s="30">
        <f>82023</f>
        <v>82023</v>
      </c>
      <c r="U286" s="30" t="str">
        <f t="shared" si="5"/>
        <v>－</v>
      </c>
      <c r="V286" s="30">
        <f>1343791700</f>
        <v>1343791700</v>
      </c>
      <c r="W286" s="30" t="str">
        <f t="shared" si="6"/>
        <v>－</v>
      </c>
      <c r="X286" s="34">
        <f>22</f>
        <v>22</v>
      </c>
    </row>
    <row r="287" spans="1:24" x14ac:dyDescent="0.15">
      <c r="A287" s="25" t="s">
        <v>933</v>
      </c>
      <c r="B287" s="25" t="s">
        <v>920</v>
      </c>
      <c r="C287" s="25" t="s">
        <v>921</v>
      </c>
      <c r="D287" s="25" t="s">
        <v>922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10120</f>
        <v>10120</v>
      </c>
      <c r="L287" s="32" t="s">
        <v>904</v>
      </c>
      <c r="M287" s="31">
        <f>10850</f>
        <v>10850</v>
      </c>
      <c r="N287" s="32" t="s">
        <v>934</v>
      </c>
      <c r="O287" s="31">
        <f>9250</f>
        <v>9250</v>
      </c>
      <c r="P287" s="32" t="s">
        <v>915</v>
      </c>
      <c r="Q287" s="31">
        <f>10790</f>
        <v>10790</v>
      </c>
      <c r="R287" s="32" t="s">
        <v>818</v>
      </c>
      <c r="S287" s="33">
        <f>10009.64</f>
        <v>10009.64</v>
      </c>
      <c r="T287" s="30">
        <f>269412</f>
        <v>269412</v>
      </c>
      <c r="U287" s="30" t="str">
        <f t="shared" si="5"/>
        <v>－</v>
      </c>
      <c r="V287" s="30">
        <f>2643158073</f>
        <v>2643158073</v>
      </c>
      <c r="W287" s="30" t="str">
        <f t="shared" si="6"/>
        <v>－</v>
      </c>
      <c r="X287" s="34">
        <f>22</f>
        <v>22</v>
      </c>
    </row>
    <row r="288" spans="1:24" x14ac:dyDescent="0.15">
      <c r="A288" s="25" t="s">
        <v>933</v>
      </c>
      <c r="B288" s="25" t="s">
        <v>923</v>
      </c>
      <c r="C288" s="25" t="s">
        <v>924</v>
      </c>
      <c r="D288" s="25" t="s">
        <v>925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27715</f>
        <v>27715</v>
      </c>
      <c r="L288" s="32" t="s">
        <v>904</v>
      </c>
      <c r="M288" s="31">
        <f>30170</f>
        <v>30170</v>
      </c>
      <c r="N288" s="32" t="s">
        <v>915</v>
      </c>
      <c r="O288" s="31">
        <f>25665</f>
        <v>25665</v>
      </c>
      <c r="P288" s="32" t="s">
        <v>934</v>
      </c>
      <c r="Q288" s="31">
        <f>25880</f>
        <v>25880</v>
      </c>
      <c r="R288" s="32" t="s">
        <v>818</v>
      </c>
      <c r="S288" s="33">
        <f>27987.5</f>
        <v>27987.5</v>
      </c>
      <c r="T288" s="30">
        <f>137239</f>
        <v>137239</v>
      </c>
      <c r="U288" s="30">
        <f>1</f>
        <v>1</v>
      </c>
      <c r="V288" s="30">
        <f>3868912970</f>
        <v>3868912970</v>
      </c>
      <c r="W288" s="30">
        <f>27405</f>
        <v>27405</v>
      </c>
      <c r="X288" s="34">
        <f>22</f>
        <v>22</v>
      </c>
    </row>
    <row r="289" spans="1:24" x14ac:dyDescent="0.15">
      <c r="A289" s="25" t="s">
        <v>933</v>
      </c>
      <c r="B289" s="25" t="s">
        <v>926</v>
      </c>
      <c r="C289" s="25" t="s">
        <v>927</v>
      </c>
      <c r="D289" s="25" t="s">
        <v>928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5001</f>
        <v>5001</v>
      </c>
      <c r="L289" s="32" t="s">
        <v>904</v>
      </c>
      <c r="M289" s="31">
        <f>5616</f>
        <v>5616</v>
      </c>
      <c r="N289" s="32" t="s">
        <v>907</v>
      </c>
      <c r="O289" s="31">
        <f>4700</f>
        <v>4700</v>
      </c>
      <c r="P289" s="32" t="s">
        <v>94</v>
      </c>
      <c r="Q289" s="31">
        <f>4722</f>
        <v>4722</v>
      </c>
      <c r="R289" s="32" t="s">
        <v>818</v>
      </c>
      <c r="S289" s="33">
        <f>4878.88</f>
        <v>4878.88</v>
      </c>
      <c r="T289" s="30">
        <f>118760</f>
        <v>118760</v>
      </c>
      <c r="U289" s="30" t="str">
        <f t="shared" ref="U289:U295" si="7">"－"</f>
        <v>－</v>
      </c>
      <c r="V289" s="30">
        <f>571640630</f>
        <v>571640630</v>
      </c>
      <c r="W289" s="30" t="str">
        <f t="shared" ref="W289:W295" si="8">"－"</f>
        <v>－</v>
      </c>
      <c r="X289" s="34">
        <f>16</f>
        <v>16</v>
      </c>
    </row>
    <row r="290" spans="1:24" x14ac:dyDescent="0.15">
      <c r="A290" s="25" t="s">
        <v>933</v>
      </c>
      <c r="B290" s="25" t="s">
        <v>930</v>
      </c>
      <c r="C290" s="25" t="s">
        <v>931</v>
      </c>
      <c r="D290" s="25" t="s">
        <v>932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5100</f>
        <v>5100</v>
      </c>
      <c r="L290" s="32" t="s">
        <v>907</v>
      </c>
      <c r="M290" s="31">
        <f>6128</f>
        <v>6128</v>
      </c>
      <c r="N290" s="32" t="s">
        <v>70</v>
      </c>
      <c r="O290" s="31">
        <f>4983</f>
        <v>4983</v>
      </c>
      <c r="P290" s="32" t="s">
        <v>915</v>
      </c>
      <c r="Q290" s="31">
        <f>5250</f>
        <v>5250</v>
      </c>
      <c r="R290" s="32" t="s">
        <v>818</v>
      </c>
      <c r="S290" s="33">
        <f>5148.78</f>
        <v>5148.78</v>
      </c>
      <c r="T290" s="30">
        <f>118850</f>
        <v>118850</v>
      </c>
      <c r="U290" s="30" t="str">
        <f t="shared" si="7"/>
        <v>－</v>
      </c>
      <c r="V290" s="30">
        <f>612174520</f>
        <v>612174520</v>
      </c>
      <c r="W290" s="30" t="str">
        <f t="shared" si="8"/>
        <v>－</v>
      </c>
      <c r="X290" s="34">
        <f>18</f>
        <v>18</v>
      </c>
    </row>
    <row r="291" spans="1:24" x14ac:dyDescent="0.15">
      <c r="A291" s="25" t="s">
        <v>933</v>
      </c>
      <c r="B291" s="25" t="s">
        <v>949</v>
      </c>
      <c r="C291" s="25" t="s">
        <v>950</v>
      </c>
      <c r="D291" s="25" t="s">
        <v>951</v>
      </c>
      <c r="E291" s="26" t="s">
        <v>808</v>
      </c>
      <c r="F291" s="27" t="s">
        <v>809</v>
      </c>
      <c r="G291" s="28" t="s">
        <v>952</v>
      </c>
      <c r="H291" s="29"/>
      <c r="I291" s="29" t="s">
        <v>46</v>
      </c>
      <c r="J291" s="30">
        <v>10</v>
      </c>
      <c r="K291" s="31">
        <f>2200</f>
        <v>2200</v>
      </c>
      <c r="L291" s="32" t="s">
        <v>814</v>
      </c>
      <c r="M291" s="31">
        <f>2260</f>
        <v>2260</v>
      </c>
      <c r="N291" s="32" t="s">
        <v>934</v>
      </c>
      <c r="O291" s="31">
        <f>2068</f>
        <v>2068</v>
      </c>
      <c r="P291" s="32" t="s">
        <v>814</v>
      </c>
      <c r="Q291" s="31">
        <f>2244</f>
        <v>2244</v>
      </c>
      <c r="R291" s="32" t="s">
        <v>818</v>
      </c>
      <c r="S291" s="33">
        <f>2177.22</f>
        <v>2177.2199999999998</v>
      </c>
      <c r="T291" s="30">
        <f>190630</f>
        <v>190630</v>
      </c>
      <c r="U291" s="30" t="str">
        <f t="shared" si="7"/>
        <v>－</v>
      </c>
      <c r="V291" s="30">
        <f>395703455</f>
        <v>395703455</v>
      </c>
      <c r="W291" s="30" t="str">
        <f t="shared" si="8"/>
        <v>－</v>
      </c>
      <c r="X291" s="34">
        <f>9</f>
        <v>9</v>
      </c>
    </row>
    <row r="292" spans="1:24" x14ac:dyDescent="0.15">
      <c r="A292" s="25" t="s">
        <v>933</v>
      </c>
      <c r="B292" s="25" t="s">
        <v>953</v>
      </c>
      <c r="C292" s="25" t="s">
        <v>954</v>
      </c>
      <c r="D292" s="25" t="s">
        <v>955</v>
      </c>
      <c r="E292" s="26" t="s">
        <v>808</v>
      </c>
      <c r="F292" s="27" t="s">
        <v>809</v>
      </c>
      <c r="G292" s="28" t="s">
        <v>952</v>
      </c>
      <c r="H292" s="29"/>
      <c r="I292" s="29" t="s">
        <v>46</v>
      </c>
      <c r="J292" s="30">
        <v>10</v>
      </c>
      <c r="K292" s="31">
        <f>2100</f>
        <v>2100</v>
      </c>
      <c r="L292" s="32" t="s">
        <v>814</v>
      </c>
      <c r="M292" s="31">
        <f>2104</f>
        <v>2104</v>
      </c>
      <c r="N292" s="32" t="s">
        <v>94</v>
      </c>
      <c r="O292" s="31">
        <f>2024.5</f>
        <v>2024.5</v>
      </c>
      <c r="P292" s="32" t="s">
        <v>814</v>
      </c>
      <c r="Q292" s="31">
        <f>2085</f>
        <v>2085</v>
      </c>
      <c r="R292" s="32" t="s">
        <v>818</v>
      </c>
      <c r="S292" s="33">
        <f>2055.94</f>
        <v>2055.94</v>
      </c>
      <c r="T292" s="30">
        <f>1960</f>
        <v>1960</v>
      </c>
      <c r="U292" s="30" t="str">
        <f t="shared" si="7"/>
        <v>－</v>
      </c>
      <c r="V292" s="30">
        <f>4021675</f>
        <v>4021675</v>
      </c>
      <c r="W292" s="30" t="str">
        <f t="shared" si="8"/>
        <v>－</v>
      </c>
      <c r="X292" s="34">
        <f>9</f>
        <v>9</v>
      </c>
    </row>
    <row r="293" spans="1:24" x14ac:dyDescent="0.15">
      <c r="A293" s="25" t="s">
        <v>933</v>
      </c>
      <c r="B293" s="25" t="s">
        <v>956</v>
      </c>
      <c r="C293" s="25" t="s">
        <v>957</v>
      </c>
      <c r="D293" s="25" t="s">
        <v>958</v>
      </c>
      <c r="E293" s="26" t="s">
        <v>808</v>
      </c>
      <c r="F293" s="27" t="s">
        <v>809</v>
      </c>
      <c r="G293" s="28" t="s">
        <v>959</v>
      </c>
      <c r="H293" s="29"/>
      <c r="I293" s="29" t="s">
        <v>46</v>
      </c>
      <c r="J293" s="30">
        <v>1</v>
      </c>
      <c r="K293" s="31">
        <f>1544</f>
        <v>1544</v>
      </c>
      <c r="L293" s="32" t="s">
        <v>820</v>
      </c>
      <c r="M293" s="31">
        <f>1584</f>
        <v>1584</v>
      </c>
      <c r="N293" s="32" t="s">
        <v>934</v>
      </c>
      <c r="O293" s="31">
        <f>1544</f>
        <v>1544</v>
      </c>
      <c r="P293" s="32" t="s">
        <v>820</v>
      </c>
      <c r="Q293" s="31">
        <f>1555</f>
        <v>1555</v>
      </c>
      <c r="R293" s="32" t="s">
        <v>818</v>
      </c>
      <c r="S293" s="33">
        <f>1563.83</f>
        <v>1563.83</v>
      </c>
      <c r="T293" s="30">
        <f>2186</f>
        <v>2186</v>
      </c>
      <c r="U293" s="30" t="str">
        <f t="shared" si="7"/>
        <v>－</v>
      </c>
      <c r="V293" s="30">
        <f>3422110</f>
        <v>3422110</v>
      </c>
      <c r="W293" s="30" t="str">
        <f t="shared" si="8"/>
        <v>－</v>
      </c>
      <c r="X293" s="34">
        <f>6</f>
        <v>6</v>
      </c>
    </row>
    <row r="294" spans="1:24" x14ac:dyDescent="0.15">
      <c r="A294" s="25" t="s">
        <v>933</v>
      </c>
      <c r="B294" s="25" t="s">
        <v>960</v>
      </c>
      <c r="C294" s="25" t="s">
        <v>961</v>
      </c>
      <c r="D294" s="25" t="s">
        <v>962</v>
      </c>
      <c r="E294" s="26" t="s">
        <v>808</v>
      </c>
      <c r="F294" s="27" t="s">
        <v>809</v>
      </c>
      <c r="G294" s="28" t="s">
        <v>959</v>
      </c>
      <c r="H294" s="29"/>
      <c r="I294" s="29" t="s">
        <v>46</v>
      </c>
      <c r="J294" s="30">
        <v>1</v>
      </c>
      <c r="K294" s="31">
        <f>1564</f>
        <v>1564</v>
      </c>
      <c r="L294" s="32" t="s">
        <v>820</v>
      </c>
      <c r="M294" s="31">
        <f>1601</f>
        <v>1601</v>
      </c>
      <c r="N294" s="32" t="s">
        <v>815</v>
      </c>
      <c r="O294" s="31">
        <f>1564</f>
        <v>1564</v>
      </c>
      <c r="P294" s="32" t="s">
        <v>820</v>
      </c>
      <c r="Q294" s="31">
        <f>1576</f>
        <v>1576</v>
      </c>
      <c r="R294" s="32" t="s">
        <v>818</v>
      </c>
      <c r="S294" s="33">
        <f>1582.33</f>
        <v>1582.33</v>
      </c>
      <c r="T294" s="30">
        <f>2283</f>
        <v>2283</v>
      </c>
      <c r="U294" s="30" t="str">
        <f t="shared" si="7"/>
        <v>－</v>
      </c>
      <c r="V294" s="30">
        <f>3624967</f>
        <v>3624967</v>
      </c>
      <c r="W294" s="30" t="str">
        <f t="shared" si="8"/>
        <v>－</v>
      </c>
      <c r="X294" s="34">
        <f>6</f>
        <v>6</v>
      </c>
    </row>
    <row r="295" spans="1:24" x14ac:dyDescent="0.15">
      <c r="A295" s="25" t="s">
        <v>933</v>
      </c>
      <c r="B295" s="25" t="s">
        <v>963</v>
      </c>
      <c r="C295" s="25" t="s">
        <v>964</v>
      </c>
      <c r="D295" s="25" t="s">
        <v>965</v>
      </c>
      <c r="E295" s="26" t="s">
        <v>808</v>
      </c>
      <c r="F295" s="27" t="s">
        <v>809</v>
      </c>
      <c r="G295" s="28" t="s">
        <v>959</v>
      </c>
      <c r="H295" s="29"/>
      <c r="I295" s="29" t="s">
        <v>46</v>
      </c>
      <c r="J295" s="30">
        <v>1</v>
      </c>
      <c r="K295" s="31">
        <f>2967</f>
        <v>2967</v>
      </c>
      <c r="L295" s="32" t="s">
        <v>820</v>
      </c>
      <c r="M295" s="31">
        <f>3005</f>
        <v>3005</v>
      </c>
      <c r="N295" s="32" t="s">
        <v>815</v>
      </c>
      <c r="O295" s="31">
        <f>2959</f>
        <v>2959</v>
      </c>
      <c r="P295" s="32" t="s">
        <v>818</v>
      </c>
      <c r="Q295" s="31">
        <f>2959</f>
        <v>2959</v>
      </c>
      <c r="R295" s="32" t="s">
        <v>818</v>
      </c>
      <c r="S295" s="33">
        <f>2977.17</f>
        <v>2977.17</v>
      </c>
      <c r="T295" s="30">
        <f>4098</f>
        <v>4098</v>
      </c>
      <c r="U295" s="30" t="str">
        <f t="shared" si="7"/>
        <v>－</v>
      </c>
      <c r="V295" s="30">
        <f>12211183</f>
        <v>12211183</v>
      </c>
      <c r="W295" s="30" t="str">
        <f t="shared" si="8"/>
        <v>－</v>
      </c>
      <c r="X295" s="34">
        <f>6</f>
        <v>6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DF60-32AD-497F-8641-DFC93300B1CB}">
  <sheetPr>
    <pageSetUpPr fitToPage="1"/>
  </sheetPr>
  <dimension ref="A1:X291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903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2016</f>
        <v>2016</v>
      </c>
      <c r="L7" s="32" t="s">
        <v>904</v>
      </c>
      <c r="M7" s="31">
        <f>2075</f>
        <v>2075</v>
      </c>
      <c r="N7" s="32" t="s">
        <v>905</v>
      </c>
      <c r="O7" s="31">
        <f>1942</f>
        <v>1942</v>
      </c>
      <c r="P7" s="32" t="s">
        <v>820</v>
      </c>
      <c r="Q7" s="31">
        <f>1986</f>
        <v>1986</v>
      </c>
      <c r="R7" s="32" t="s">
        <v>94</v>
      </c>
      <c r="S7" s="33">
        <f>2019.81</f>
        <v>2019.81</v>
      </c>
      <c r="T7" s="30">
        <f>7262920</f>
        <v>7262920</v>
      </c>
      <c r="U7" s="30">
        <f>2801840</f>
        <v>2801840</v>
      </c>
      <c r="V7" s="30">
        <f>14701324586</f>
        <v>14701324586</v>
      </c>
      <c r="W7" s="30">
        <f>5749281921</f>
        <v>5749281921</v>
      </c>
      <c r="X7" s="34">
        <f>18</f>
        <v>18</v>
      </c>
    </row>
    <row r="8" spans="1:24" x14ac:dyDescent="0.15">
      <c r="A8" s="25" t="s">
        <v>903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1991</f>
        <v>1991</v>
      </c>
      <c r="L8" s="32" t="s">
        <v>904</v>
      </c>
      <c r="M8" s="31">
        <f>2052.5</f>
        <v>2052.5</v>
      </c>
      <c r="N8" s="32" t="s">
        <v>905</v>
      </c>
      <c r="O8" s="31">
        <f>1920</f>
        <v>1920</v>
      </c>
      <c r="P8" s="32" t="s">
        <v>820</v>
      </c>
      <c r="Q8" s="31">
        <f>1967</f>
        <v>1967</v>
      </c>
      <c r="R8" s="32" t="s">
        <v>94</v>
      </c>
      <c r="S8" s="33">
        <f>1997.83</f>
        <v>1997.83</v>
      </c>
      <c r="T8" s="30">
        <f>32641200</f>
        <v>32641200</v>
      </c>
      <c r="U8" s="30">
        <f>1186500</f>
        <v>1186500</v>
      </c>
      <c r="V8" s="30">
        <f>65077988789</f>
        <v>65077988789</v>
      </c>
      <c r="W8" s="30">
        <f>2375589239</f>
        <v>2375589239</v>
      </c>
      <c r="X8" s="34">
        <f>18</f>
        <v>18</v>
      </c>
    </row>
    <row r="9" spans="1:24" x14ac:dyDescent="0.15">
      <c r="A9" s="25" t="s">
        <v>903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1969</f>
        <v>1969</v>
      </c>
      <c r="L9" s="32" t="s">
        <v>904</v>
      </c>
      <c r="M9" s="31">
        <f>2030</f>
        <v>2030</v>
      </c>
      <c r="N9" s="32" t="s">
        <v>905</v>
      </c>
      <c r="O9" s="31">
        <f>1899</f>
        <v>1899</v>
      </c>
      <c r="P9" s="32" t="s">
        <v>820</v>
      </c>
      <c r="Q9" s="31">
        <f>1944.5</f>
        <v>1944.5</v>
      </c>
      <c r="R9" s="32" t="s">
        <v>94</v>
      </c>
      <c r="S9" s="33">
        <f>1975.28</f>
        <v>1975.28</v>
      </c>
      <c r="T9" s="30">
        <f>5014700</f>
        <v>5014700</v>
      </c>
      <c r="U9" s="30">
        <f>670000</f>
        <v>670000</v>
      </c>
      <c r="V9" s="30">
        <f>9869431980</f>
        <v>9869431980</v>
      </c>
      <c r="W9" s="30">
        <f>1332292980</f>
        <v>1332292980</v>
      </c>
      <c r="X9" s="34">
        <f>18</f>
        <v>18</v>
      </c>
    </row>
    <row r="10" spans="1:24" x14ac:dyDescent="0.15">
      <c r="A10" s="25" t="s">
        <v>903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42000</f>
        <v>42000</v>
      </c>
      <c r="L10" s="32" t="s">
        <v>904</v>
      </c>
      <c r="M10" s="31">
        <f>43940</f>
        <v>43940</v>
      </c>
      <c r="N10" s="32" t="s">
        <v>906</v>
      </c>
      <c r="O10" s="31">
        <f>41410</f>
        <v>41410</v>
      </c>
      <c r="P10" s="32" t="s">
        <v>820</v>
      </c>
      <c r="Q10" s="31">
        <f>42310</f>
        <v>42310</v>
      </c>
      <c r="R10" s="32" t="s">
        <v>94</v>
      </c>
      <c r="S10" s="33">
        <f>42483.89</f>
        <v>42483.89</v>
      </c>
      <c r="T10" s="30">
        <f>2581</f>
        <v>2581</v>
      </c>
      <c r="U10" s="30" t="str">
        <f>"－"</f>
        <v>－</v>
      </c>
      <c r="V10" s="30">
        <f>109728950</f>
        <v>109728950</v>
      </c>
      <c r="W10" s="30" t="str">
        <f>"－"</f>
        <v>－</v>
      </c>
      <c r="X10" s="34">
        <f>18</f>
        <v>18</v>
      </c>
    </row>
    <row r="11" spans="1:24" x14ac:dyDescent="0.15">
      <c r="A11" s="25" t="s">
        <v>903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948.4</f>
        <v>948.4</v>
      </c>
      <c r="L11" s="32" t="s">
        <v>904</v>
      </c>
      <c r="M11" s="31">
        <f>964</f>
        <v>964</v>
      </c>
      <c r="N11" s="32" t="s">
        <v>905</v>
      </c>
      <c r="O11" s="31">
        <f>895.1</f>
        <v>895.1</v>
      </c>
      <c r="P11" s="32" t="s">
        <v>820</v>
      </c>
      <c r="Q11" s="31">
        <f>909.1</f>
        <v>909.1</v>
      </c>
      <c r="R11" s="32" t="s">
        <v>94</v>
      </c>
      <c r="S11" s="33">
        <f>935.82</f>
        <v>935.82</v>
      </c>
      <c r="T11" s="30">
        <f>158200</f>
        <v>158200</v>
      </c>
      <c r="U11" s="30">
        <f>70</f>
        <v>70</v>
      </c>
      <c r="V11" s="30">
        <f>147477089</f>
        <v>147477089</v>
      </c>
      <c r="W11" s="30">
        <f>64700</f>
        <v>64700</v>
      </c>
      <c r="X11" s="34">
        <f>18</f>
        <v>18</v>
      </c>
    </row>
    <row r="12" spans="1:24" x14ac:dyDescent="0.15">
      <c r="A12" s="25" t="s">
        <v>903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19960</f>
        <v>19960</v>
      </c>
      <c r="L12" s="32" t="s">
        <v>904</v>
      </c>
      <c r="M12" s="31">
        <f>20035</f>
        <v>20035</v>
      </c>
      <c r="N12" s="32" t="s">
        <v>907</v>
      </c>
      <c r="O12" s="31">
        <f>18590</f>
        <v>18590</v>
      </c>
      <c r="P12" s="32" t="s">
        <v>815</v>
      </c>
      <c r="Q12" s="31">
        <f>19705</f>
        <v>19705</v>
      </c>
      <c r="R12" s="32" t="s">
        <v>94</v>
      </c>
      <c r="S12" s="33">
        <f>19677.22</f>
        <v>19677.22</v>
      </c>
      <c r="T12" s="30">
        <f>1028</f>
        <v>1028</v>
      </c>
      <c r="U12" s="30" t="str">
        <f>"－"</f>
        <v>－</v>
      </c>
      <c r="V12" s="30">
        <f>20086060</f>
        <v>20086060</v>
      </c>
      <c r="W12" s="30" t="str">
        <f>"－"</f>
        <v>－</v>
      </c>
      <c r="X12" s="34">
        <f>18</f>
        <v>18</v>
      </c>
    </row>
    <row r="13" spans="1:24" x14ac:dyDescent="0.15">
      <c r="A13" s="25" t="s">
        <v>903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4000</f>
        <v>4000</v>
      </c>
      <c r="L13" s="32" t="s">
        <v>904</v>
      </c>
      <c r="M13" s="31">
        <f>4000</f>
        <v>4000</v>
      </c>
      <c r="N13" s="32" t="s">
        <v>904</v>
      </c>
      <c r="O13" s="31">
        <f>3500</f>
        <v>3500</v>
      </c>
      <c r="P13" s="32" t="s">
        <v>908</v>
      </c>
      <c r="Q13" s="31">
        <f>3700</f>
        <v>3700</v>
      </c>
      <c r="R13" s="32" t="s">
        <v>94</v>
      </c>
      <c r="S13" s="33">
        <f>3657.6</f>
        <v>3657.6</v>
      </c>
      <c r="T13" s="30">
        <f>1210</f>
        <v>1210</v>
      </c>
      <c r="U13" s="30" t="str">
        <f>"－"</f>
        <v>－</v>
      </c>
      <c r="V13" s="30">
        <f>4538190</f>
        <v>4538190</v>
      </c>
      <c r="W13" s="30" t="str">
        <f>"－"</f>
        <v>－</v>
      </c>
      <c r="X13" s="34">
        <f>15</f>
        <v>15</v>
      </c>
    </row>
    <row r="14" spans="1:24" x14ac:dyDescent="0.15">
      <c r="A14" s="25" t="s">
        <v>903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352</f>
        <v>352</v>
      </c>
      <c r="L14" s="32" t="s">
        <v>904</v>
      </c>
      <c r="M14" s="31">
        <f>365.9</f>
        <v>365.9</v>
      </c>
      <c r="N14" s="32" t="s">
        <v>906</v>
      </c>
      <c r="O14" s="31">
        <f>336.3</f>
        <v>336.3</v>
      </c>
      <c r="P14" s="32" t="s">
        <v>820</v>
      </c>
      <c r="Q14" s="31">
        <f>345</f>
        <v>345</v>
      </c>
      <c r="R14" s="32" t="s">
        <v>94</v>
      </c>
      <c r="S14" s="33">
        <f>351.83</f>
        <v>351.83</v>
      </c>
      <c r="T14" s="30">
        <f>96000</f>
        <v>96000</v>
      </c>
      <c r="U14" s="30">
        <f>2000</f>
        <v>2000</v>
      </c>
      <c r="V14" s="30">
        <f>33489600</f>
        <v>33489600</v>
      </c>
      <c r="W14" s="30">
        <f>715200</f>
        <v>715200</v>
      </c>
      <c r="X14" s="34">
        <f>13</f>
        <v>13</v>
      </c>
    </row>
    <row r="15" spans="1:24" x14ac:dyDescent="0.15">
      <c r="A15" s="25" t="s">
        <v>903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28125</f>
        <v>28125</v>
      </c>
      <c r="L15" s="32" t="s">
        <v>904</v>
      </c>
      <c r="M15" s="31">
        <f>28720</f>
        <v>28720</v>
      </c>
      <c r="N15" s="32" t="s">
        <v>905</v>
      </c>
      <c r="O15" s="31">
        <f>26555</f>
        <v>26555</v>
      </c>
      <c r="P15" s="32" t="s">
        <v>820</v>
      </c>
      <c r="Q15" s="31">
        <f>27330</f>
        <v>27330</v>
      </c>
      <c r="R15" s="32" t="s">
        <v>94</v>
      </c>
      <c r="S15" s="33">
        <f>27891.39</f>
        <v>27891.39</v>
      </c>
      <c r="T15" s="30">
        <f>1249908</f>
        <v>1249908</v>
      </c>
      <c r="U15" s="30">
        <f>197647</f>
        <v>197647</v>
      </c>
      <c r="V15" s="30">
        <f>34613982160</f>
        <v>34613982160</v>
      </c>
      <c r="W15" s="30">
        <f>5370365595</f>
        <v>5370365595</v>
      </c>
      <c r="X15" s="34">
        <f>18</f>
        <v>18</v>
      </c>
    </row>
    <row r="16" spans="1:24" x14ac:dyDescent="0.15">
      <c r="A16" s="25" t="s">
        <v>903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28185</f>
        <v>28185</v>
      </c>
      <c r="L16" s="32" t="s">
        <v>904</v>
      </c>
      <c r="M16" s="31">
        <f>28780</f>
        <v>28780</v>
      </c>
      <c r="N16" s="32" t="s">
        <v>905</v>
      </c>
      <c r="O16" s="31">
        <f>26670</f>
        <v>26670</v>
      </c>
      <c r="P16" s="32" t="s">
        <v>820</v>
      </c>
      <c r="Q16" s="31">
        <f>27415</f>
        <v>27415</v>
      </c>
      <c r="R16" s="32" t="s">
        <v>94</v>
      </c>
      <c r="S16" s="33">
        <f>27955.83</f>
        <v>27955.83</v>
      </c>
      <c r="T16" s="30">
        <f>4753592</f>
        <v>4753592</v>
      </c>
      <c r="U16" s="30">
        <f>209095</f>
        <v>209095</v>
      </c>
      <c r="V16" s="30">
        <f>132339761249</f>
        <v>132339761249</v>
      </c>
      <c r="W16" s="30">
        <f>5812548709</f>
        <v>5812548709</v>
      </c>
      <c r="X16" s="34">
        <f>18</f>
        <v>18</v>
      </c>
    </row>
    <row r="17" spans="1:24" x14ac:dyDescent="0.15">
      <c r="A17" s="25" t="s">
        <v>903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8320</f>
        <v>8320</v>
      </c>
      <c r="L17" s="32" t="s">
        <v>904</v>
      </c>
      <c r="M17" s="31">
        <f>8320</f>
        <v>8320</v>
      </c>
      <c r="N17" s="32" t="s">
        <v>904</v>
      </c>
      <c r="O17" s="31">
        <f>7770</f>
        <v>7770</v>
      </c>
      <c r="P17" s="32" t="s">
        <v>820</v>
      </c>
      <c r="Q17" s="31">
        <f>8070</f>
        <v>8070</v>
      </c>
      <c r="R17" s="32" t="s">
        <v>94</v>
      </c>
      <c r="S17" s="33">
        <f>8061.17</f>
        <v>8061.17</v>
      </c>
      <c r="T17" s="30">
        <f>5340</f>
        <v>5340</v>
      </c>
      <c r="U17" s="30" t="str">
        <f>"－"</f>
        <v>－</v>
      </c>
      <c r="V17" s="30">
        <f>42870520</f>
        <v>42870520</v>
      </c>
      <c r="W17" s="30" t="str">
        <f>"－"</f>
        <v>－</v>
      </c>
      <c r="X17" s="34">
        <f>18</f>
        <v>18</v>
      </c>
    </row>
    <row r="18" spans="1:24" x14ac:dyDescent="0.15">
      <c r="A18" s="25" t="s">
        <v>903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>
        <f>486</f>
        <v>486</v>
      </c>
      <c r="L18" s="32" t="s">
        <v>904</v>
      </c>
      <c r="M18" s="31">
        <f>503.9</f>
        <v>503.9</v>
      </c>
      <c r="N18" s="32" t="s">
        <v>66</v>
      </c>
      <c r="O18" s="31">
        <f>485.7</f>
        <v>485.7</v>
      </c>
      <c r="P18" s="32" t="s">
        <v>907</v>
      </c>
      <c r="Q18" s="31">
        <f>499.1</f>
        <v>499.1</v>
      </c>
      <c r="R18" s="32" t="s">
        <v>94</v>
      </c>
      <c r="S18" s="33">
        <f>496.48</f>
        <v>496.48</v>
      </c>
      <c r="T18" s="30">
        <f>57500</f>
        <v>57500</v>
      </c>
      <c r="U18" s="30" t="str">
        <f>"－"</f>
        <v>－</v>
      </c>
      <c r="V18" s="30">
        <f>28628830</f>
        <v>28628830</v>
      </c>
      <c r="W18" s="30" t="str">
        <f>"－"</f>
        <v>－</v>
      </c>
      <c r="X18" s="34">
        <f>18</f>
        <v>18</v>
      </c>
    </row>
    <row r="19" spans="1:24" x14ac:dyDescent="0.15">
      <c r="A19" s="25" t="s">
        <v>903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148.7</f>
        <v>148.69999999999999</v>
      </c>
      <c r="L19" s="32" t="s">
        <v>904</v>
      </c>
      <c r="M19" s="31">
        <f>162.8</f>
        <v>162.80000000000001</v>
      </c>
      <c r="N19" s="32" t="s">
        <v>906</v>
      </c>
      <c r="O19" s="31">
        <f>123.2</f>
        <v>123.2</v>
      </c>
      <c r="P19" s="32" t="s">
        <v>94</v>
      </c>
      <c r="Q19" s="31">
        <f>128</f>
        <v>128</v>
      </c>
      <c r="R19" s="32" t="s">
        <v>94</v>
      </c>
      <c r="S19" s="33">
        <f>150.37</f>
        <v>150.37</v>
      </c>
      <c r="T19" s="30">
        <f>4309200</f>
        <v>4309200</v>
      </c>
      <c r="U19" s="30">
        <f>300</f>
        <v>300</v>
      </c>
      <c r="V19" s="30">
        <f>587666820</f>
        <v>587666820</v>
      </c>
      <c r="W19" s="30">
        <f>46360</f>
        <v>46360</v>
      </c>
      <c r="X19" s="34">
        <f>18</f>
        <v>18</v>
      </c>
    </row>
    <row r="20" spans="1:24" x14ac:dyDescent="0.15">
      <c r="A20" s="25" t="s">
        <v>903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175.9</f>
        <v>175.9</v>
      </c>
      <c r="L20" s="32" t="s">
        <v>904</v>
      </c>
      <c r="M20" s="31">
        <f>190</f>
        <v>190</v>
      </c>
      <c r="N20" s="32" t="s">
        <v>819</v>
      </c>
      <c r="O20" s="31">
        <f>167.2</f>
        <v>167.2</v>
      </c>
      <c r="P20" s="32" t="s">
        <v>820</v>
      </c>
      <c r="Q20" s="31">
        <f>179.8</f>
        <v>179.8</v>
      </c>
      <c r="R20" s="32" t="s">
        <v>94</v>
      </c>
      <c r="S20" s="33">
        <f>179.3</f>
        <v>179.3</v>
      </c>
      <c r="T20" s="30">
        <f>554300</f>
        <v>554300</v>
      </c>
      <c r="U20" s="30">
        <f>500</f>
        <v>500</v>
      </c>
      <c r="V20" s="30">
        <f>99331890</f>
        <v>99331890</v>
      </c>
      <c r="W20" s="30">
        <f>89590</f>
        <v>89590</v>
      </c>
      <c r="X20" s="34">
        <f>18</f>
        <v>18</v>
      </c>
    </row>
    <row r="21" spans="1:24" x14ac:dyDescent="0.15">
      <c r="A21" s="25" t="s">
        <v>903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19335</f>
        <v>19335</v>
      </c>
      <c r="L21" s="32" t="s">
        <v>904</v>
      </c>
      <c r="M21" s="31">
        <f>20845</f>
        <v>20845</v>
      </c>
      <c r="N21" s="32" t="s">
        <v>820</v>
      </c>
      <c r="O21" s="31">
        <f>19260</f>
        <v>19260</v>
      </c>
      <c r="P21" s="32" t="s">
        <v>909</v>
      </c>
      <c r="Q21" s="31">
        <f>20575</f>
        <v>20575</v>
      </c>
      <c r="R21" s="32" t="s">
        <v>94</v>
      </c>
      <c r="S21" s="33">
        <f>19970.56</f>
        <v>19970.560000000001</v>
      </c>
      <c r="T21" s="30">
        <f>186952</f>
        <v>186952</v>
      </c>
      <c r="U21" s="30" t="str">
        <f>"－"</f>
        <v>－</v>
      </c>
      <c r="V21" s="30">
        <f>3791447250</f>
        <v>3791447250</v>
      </c>
      <c r="W21" s="30" t="str">
        <f>"－"</f>
        <v>－</v>
      </c>
      <c r="X21" s="34">
        <f>18</f>
        <v>18</v>
      </c>
    </row>
    <row r="22" spans="1:24" x14ac:dyDescent="0.15">
      <c r="A22" s="25" t="s">
        <v>903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5219</f>
        <v>5219</v>
      </c>
      <c r="L22" s="32" t="s">
        <v>904</v>
      </c>
      <c r="M22" s="31">
        <f>5640</f>
        <v>5640</v>
      </c>
      <c r="N22" s="32" t="s">
        <v>820</v>
      </c>
      <c r="O22" s="31">
        <f>5202</f>
        <v>5202</v>
      </c>
      <c r="P22" s="32" t="s">
        <v>909</v>
      </c>
      <c r="Q22" s="31">
        <f>5558</f>
        <v>5558</v>
      </c>
      <c r="R22" s="32" t="s">
        <v>94</v>
      </c>
      <c r="S22" s="33">
        <f>5399.83</f>
        <v>5399.83</v>
      </c>
      <c r="T22" s="30">
        <f>260670</f>
        <v>260670</v>
      </c>
      <c r="U22" s="30" t="str">
        <f>"－"</f>
        <v>－</v>
      </c>
      <c r="V22" s="30">
        <f>1435656920</f>
        <v>1435656920</v>
      </c>
      <c r="W22" s="30" t="str">
        <f>"－"</f>
        <v>－</v>
      </c>
      <c r="X22" s="34">
        <f>18</f>
        <v>18</v>
      </c>
    </row>
    <row r="23" spans="1:24" x14ac:dyDescent="0.15">
      <c r="A23" s="25" t="s">
        <v>903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28340</f>
        <v>28340</v>
      </c>
      <c r="L23" s="32" t="s">
        <v>904</v>
      </c>
      <c r="M23" s="31">
        <f>28695</f>
        <v>28695</v>
      </c>
      <c r="N23" s="32" t="s">
        <v>905</v>
      </c>
      <c r="O23" s="31">
        <f>26535</f>
        <v>26535</v>
      </c>
      <c r="P23" s="32" t="s">
        <v>820</v>
      </c>
      <c r="Q23" s="31">
        <f>27325</f>
        <v>27325</v>
      </c>
      <c r="R23" s="32" t="s">
        <v>94</v>
      </c>
      <c r="S23" s="33">
        <f>27928.06</f>
        <v>27928.06</v>
      </c>
      <c r="T23" s="30">
        <f>575857</f>
        <v>575857</v>
      </c>
      <c r="U23" s="30">
        <f>93330</f>
        <v>93330</v>
      </c>
      <c r="V23" s="30">
        <f>16038560132</f>
        <v>16038560132</v>
      </c>
      <c r="W23" s="30">
        <f>2624019967</f>
        <v>2624019967</v>
      </c>
      <c r="X23" s="34">
        <f>18</f>
        <v>18</v>
      </c>
    </row>
    <row r="24" spans="1:24" x14ac:dyDescent="0.15">
      <c r="A24" s="25" t="s">
        <v>903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28225</f>
        <v>28225</v>
      </c>
      <c r="L24" s="32" t="s">
        <v>904</v>
      </c>
      <c r="M24" s="31">
        <f>28820</f>
        <v>28820</v>
      </c>
      <c r="N24" s="32" t="s">
        <v>905</v>
      </c>
      <c r="O24" s="31">
        <f>26645</f>
        <v>26645</v>
      </c>
      <c r="P24" s="32" t="s">
        <v>820</v>
      </c>
      <c r="Q24" s="31">
        <f>27445</f>
        <v>27445</v>
      </c>
      <c r="R24" s="32" t="s">
        <v>94</v>
      </c>
      <c r="S24" s="33">
        <f>27988.33</f>
        <v>27988.33</v>
      </c>
      <c r="T24" s="30">
        <f>751890</f>
        <v>751890</v>
      </c>
      <c r="U24" s="30">
        <f>28240</f>
        <v>28240</v>
      </c>
      <c r="V24" s="30">
        <f>20876548800</f>
        <v>20876548800</v>
      </c>
      <c r="W24" s="30">
        <f>785666400</f>
        <v>785666400</v>
      </c>
      <c r="X24" s="34">
        <f>18</f>
        <v>18</v>
      </c>
    </row>
    <row r="25" spans="1:24" x14ac:dyDescent="0.15">
      <c r="A25" s="25" t="s">
        <v>903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2115</f>
        <v>2115</v>
      </c>
      <c r="L25" s="32" t="s">
        <v>904</v>
      </c>
      <c r="M25" s="31">
        <f>2122.5</f>
        <v>2122.5</v>
      </c>
      <c r="N25" s="32" t="s">
        <v>904</v>
      </c>
      <c r="O25" s="31">
        <f>1975</f>
        <v>1975</v>
      </c>
      <c r="P25" s="32" t="s">
        <v>820</v>
      </c>
      <c r="Q25" s="31">
        <f>2017.5</f>
        <v>2017.5</v>
      </c>
      <c r="R25" s="32" t="s">
        <v>94</v>
      </c>
      <c r="S25" s="33">
        <f>2037.19</f>
        <v>2037.19</v>
      </c>
      <c r="T25" s="30">
        <f>12907480</f>
        <v>12907480</v>
      </c>
      <c r="U25" s="30">
        <f>948350</f>
        <v>948350</v>
      </c>
      <c r="V25" s="30">
        <f>26444912033</f>
        <v>26444912033</v>
      </c>
      <c r="W25" s="30">
        <f>1928371898</f>
        <v>1928371898</v>
      </c>
      <c r="X25" s="34">
        <f>18</f>
        <v>18</v>
      </c>
    </row>
    <row r="26" spans="1:24" x14ac:dyDescent="0.15">
      <c r="A26" s="25" t="s">
        <v>903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1987.5</f>
        <v>1987.5</v>
      </c>
      <c r="L26" s="32" t="s">
        <v>904</v>
      </c>
      <c r="M26" s="31">
        <f>1995.5</f>
        <v>1995.5</v>
      </c>
      <c r="N26" s="32" t="s">
        <v>904</v>
      </c>
      <c r="O26" s="31">
        <f>1871.5</f>
        <v>1871.5</v>
      </c>
      <c r="P26" s="32" t="s">
        <v>820</v>
      </c>
      <c r="Q26" s="31">
        <f>1912</f>
        <v>1912</v>
      </c>
      <c r="R26" s="32" t="s">
        <v>94</v>
      </c>
      <c r="S26" s="33">
        <f>1926.25</f>
        <v>1926.25</v>
      </c>
      <c r="T26" s="30">
        <f>1631200</f>
        <v>1631200</v>
      </c>
      <c r="U26" s="30">
        <f>85000</f>
        <v>85000</v>
      </c>
      <c r="V26" s="30">
        <f>3135258191</f>
        <v>3135258191</v>
      </c>
      <c r="W26" s="30">
        <f>162541391</f>
        <v>162541391</v>
      </c>
      <c r="X26" s="34">
        <f>18</f>
        <v>18</v>
      </c>
    </row>
    <row r="27" spans="1:24" x14ac:dyDescent="0.15">
      <c r="A27" s="25" t="s">
        <v>903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28110</f>
        <v>28110</v>
      </c>
      <c r="L27" s="32" t="s">
        <v>904</v>
      </c>
      <c r="M27" s="31">
        <f>28700</f>
        <v>28700</v>
      </c>
      <c r="N27" s="32" t="s">
        <v>905</v>
      </c>
      <c r="O27" s="31">
        <f>26540</f>
        <v>26540</v>
      </c>
      <c r="P27" s="32" t="s">
        <v>820</v>
      </c>
      <c r="Q27" s="31">
        <f>27335</f>
        <v>27335</v>
      </c>
      <c r="R27" s="32" t="s">
        <v>94</v>
      </c>
      <c r="S27" s="33">
        <f>27877.5</f>
        <v>27877.5</v>
      </c>
      <c r="T27" s="30">
        <f>404321</f>
        <v>404321</v>
      </c>
      <c r="U27" s="30">
        <f>50302</f>
        <v>50302</v>
      </c>
      <c r="V27" s="30">
        <f>11238897300</f>
        <v>11238897300</v>
      </c>
      <c r="W27" s="30">
        <f>1428563980</f>
        <v>1428563980</v>
      </c>
      <c r="X27" s="34">
        <f>18</f>
        <v>18</v>
      </c>
    </row>
    <row r="28" spans="1:24" x14ac:dyDescent="0.15">
      <c r="A28" s="25" t="s">
        <v>903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1974.5</f>
        <v>1974.5</v>
      </c>
      <c r="L28" s="32" t="s">
        <v>904</v>
      </c>
      <c r="M28" s="31">
        <f>2033</f>
        <v>2033</v>
      </c>
      <c r="N28" s="32" t="s">
        <v>905</v>
      </c>
      <c r="O28" s="31">
        <f>1902.5</f>
        <v>1902.5</v>
      </c>
      <c r="P28" s="32" t="s">
        <v>820</v>
      </c>
      <c r="Q28" s="31">
        <f>1949</f>
        <v>1949</v>
      </c>
      <c r="R28" s="32" t="s">
        <v>94</v>
      </c>
      <c r="S28" s="33">
        <f>1979.06</f>
        <v>1979.06</v>
      </c>
      <c r="T28" s="30">
        <f>1619980</f>
        <v>1619980</v>
      </c>
      <c r="U28" s="30">
        <f>25410</f>
        <v>25410</v>
      </c>
      <c r="V28" s="30">
        <f>3182585179</f>
        <v>3182585179</v>
      </c>
      <c r="W28" s="30">
        <f>50036124</f>
        <v>50036124</v>
      </c>
      <c r="X28" s="34">
        <f>18</f>
        <v>18</v>
      </c>
    </row>
    <row r="29" spans="1:24" x14ac:dyDescent="0.15">
      <c r="A29" s="25" t="s">
        <v>903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13535</f>
        <v>13535</v>
      </c>
      <c r="L29" s="32" t="s">
        <v>904</v>
      </c>
      <c r="M29" s="31">
        <f>13770</f>
        <v>13770</v>
      </c>
      <c r="N29" s="32" t="s">
        <v>905</v>
      </c>
      <c r="O29" s="31">
        <f>13415</f>
        <v>13415</v>
      </c>
      <c r="P29" s="32" t="s">
        <v>811</v>
      </c>
      <c r="Q29" s="31">
        <f>13560</f>
        <v>13560</v>
      </c>
      <c r="R29" s="32" t="s">
        <v>94</v>
      </c>
      <c r="S29" s="33">
        <f>13511.94</f>
        <v>13511.94</v>
      </c>
      <c r="T29" s="30">
        <f>669</f>
        <v>669</v>
      </c>
      <c r="U29" s="30" t="str">
        <f>"－"</f>
        <v>－</v>
      </c>
      <c r="V29" s="30">
        <f>9113830</f>
        <v>9113830</v>
      </c>
      <c r="W29" s="30" t="str">
        <f>"－"</f>
        <v>－</v>
      </c>
      <c r="X29" s="34">
        <f>18</f>
        <v>18</v>
      </c>
    </row>
    <row r="30" spans="1:24" x14ac:dyDescent="0.15">
      <c r="A30" s="25" t="s">
        <v>903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1096</f>
        <v>1096</v>
      </c>
      <c r="L30" s="32" t="s">
        <v>904</v>
      </c>
      <c r="M30" s="31">
        <f>1169</f>
        <v>1169</v>
      </c>
      <c r="N30" s="32" t="s">
        <v>820</v>
      </c>
      <c r="O30" s="31">
        <f>1028</f>
        <v>1028</v>
      </c>
      <c r="P30" s="32" t="s">
        <v>905</v>
      </c>
      <c r="Q30" s="31">
        <f>1117</f>
        <v>1117</v>
      </c>
      <c r="R30" s="32" t="s">
        <v>94</v>
      </c>
      <c r="S30" s="33">
        <f>1084.36</f>
        <v>1084.3599999999999</v>
      </c>
      <c r="T30" s="30">
        <f>6959170</f>
        <v>6959170</v>
      </c>
      <c r="U30" s="30">
        <f>880</f>
        <v>880</v>
      </c>
      <c r="V30" s="30">
        <f>7604454550</f>
        <v>7604454550</v>
      </c>
      <c r="W30" s="30">
        <f>953795</f>
        <v>953795</v>
      </c>
      <c r="X30" s="34">
        <f>18</f>
        <v>18</v>
      </c>
    </row>
    <row r="31" spans="1:24" x14ac:dyDescent="0.15">
      <c r="A31" s="25" t="s">
        <v>903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423</f>
        <v>423</v>
      </c>
      <c r="L31" s="32" t="s">
        <v>904</v>
      </c>
      <c r="M31" s="31">
        <f>470</f>
        <v>470</v>
      </c>
      <c r="N31" s="32" t="s">
        <v>820</v>
      </c>
      <c r="O31" s="31">
        <f>404</f>
        <v>404</v>
      </c>
      <c r="P31" s="32" t="s">
        <v>905</v>
      </c>
      <c r="Q31" s="31">
        <f>442</f>
        <v>442</v>
      </c>
      <c r="R31" s="32" t="s">
        <v>94</v>
      </c>
      <c r="S31" s="33">
        <f>428</f>
        <v>428</v>
      </c>
      <c r="T31" s="30">
        <f>1244242896</f>
        <v>1244242896</v>
      </c>
      <c r="U31" s="30">
        <f>3448728</f>
        <v>3448728</v>
      </c>
      <c r="V31" s="30">
        <f>539331613618</f>
        <v>539331613618</v>
      </c>
      <c r="W31" s="30">
        <f>1503797701</f>
        <v>1503797701</v>
      </c>
      <c r="X31" s="34">
        <f>18</f>
        <v>18</v>
      </c>
    </row>
    <row r="32" spans="1:24" x14ac:dyDescent="0.15">
      <c r="A32" s="25" t="s">
        <v>903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26020</f>
        <v>26020</v>
      </c>
      <c r="L32" s="32" t="s">
        <v>904</v>
      </c>
      <c r="M32" s="31">
        <f>27095</f>
        <v>27095</v>
      </c>
      <c r="N32" s="32" t="s">
        <v>905</v>
      </c>
      <c r="O32" s="31">
        <f>23090</f>
        <v>23090</v>
      </c>
      <c r="P32" s="32" t="s">
        <v>820</v>
      </c>
      <c r="Q32" s="31">
        <f>24515</f>
        <v>24515</v>
      </c>
      <c r="R32" s="32" t="s">
        <v>94</v>
      </c>
      <c r="S32" s="33">
        <f>25542.22</f>
        <v>25542.22</v>
      </c>
      <c r="T32" s="30">
        <f>624086</f>
        <v>624086</v>
      </c>
      <c r="U32" s="30">
        <f>1</f>
        <v>1</v>
      </c>
      <c r="V32" s="30">
        <f>15760387240</f>
        <v>15760387240</v>
      </c>
      <c r="W32" s="30">
        <f>26435</f>
        <v>26435</v>
      </c>
      <c r="X32" s="34">
        <f>18</f>
        <v>18</v>
      </c>
    </row>
    <row r="33" spans="1:24" x14ac:dyDescent="0.15">
      <c r="A33" s="25" t="s">
        <v>903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1032</f>
        <v>1032</v>
      </c>
      <c r="L33" s="32" t="s">
        <v>904</v>
      </c>
      <c r="M33" s="31">
        <f>1149</f>
        <v>1149</v>
      </c>
      <c r="N33" s="32" t="s">
        <v>820</v>
      </c>
      <c r="O33" s="31">
        <f>987.9</f>
        <v>987.9</v>
      </c>
      <c r="P33" s="32" t="s">
        <v>905</v>
      </c>
      <c r="Q33" s="31">
        <f>1082</f>
        <v>1082</v>
      </c>
      <c r="R33" s="32" t="s">
        <v>94</v>
      </c>
      <c r="S33" s="33">
        <f>1046.83</f>
        <v>1046.83</v>
      </c>
      <c r="T33" s="30">
        <f>217051250</f>
        <v>217051250</v>
      </c>
      <c r="U33" s="30">
        <f>200260</f>
        <v>200260</v>
      </c>
      <c r="V33" s="30">
        <f>229424817182</f>
        <v>229424817182</v>
      </c>
      <c r="W33" s="30">
        <f>204494970</f>
        <v>204494970</v>
      </c>
      <c r="X33" s="34">
        <f>18</f>
        <v>18</v>
      </c>
    </row>
    <row r="34" spans="1:24" x14ac:dyDescent="0.15">
      <c r="A34" s="25" t="s">
        <v>903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17690</f>
        <v>17690</v>
      </c>
      <c r="L34" s="32" t="s">
        <v>904</v>
      </c>
      <c r="M34" s="31">
        <f>18135</f>
        <v>18135</v>
      </c>
      <c r="N34" s="32" t="s">
        <v>815</v>
      </c>
      <c r="O34" s="31">
        <f>16860</f>
        <v>16860</v>
      </c>
      <c r="P34" s="32" t="s">
        <v>820</v>
      </c>
      <c r="Q34" s="31">
        <f>17240</f>
        <v>17240</v>
      </c>
      <c r="R34" s="32" t="s">
        <v>94</v>
      </c>
      <c r="S34" s="33">
        <f>17609.44</f>
        <v>17609.439999999999</v>
      </c>
      <c r="T34" s="30">
        <f>2770</f>
        <v>2770</v>
      </c>
      <c r="U34" s="30">
        <f>1</f>
        <v>1</v>
      </c>
      <c r="V34" s="30">
        <f>48666150</f>
        <v>48666150</v>
      </c>
      <c r="W34" s="30">
        <f>17600</f>
        <v>17600</v>
      </c>
      <c r="X34" s="34">
        <f>18</f>
        <v>18</v>
      </c>
    </row>
    <row r="35" spans="1:24" x14ac:dyDescent="0.15">
      <c r="A35" s="25" t="s">
        <v>903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21615</f>
        <v>21615</v>
      </c>
      <c r="L35" s="32" t="s">
        <v>904</v>
      </c>
      <c r="M35" s="31">
        <f>22520</f>
        <v>22520</v>
      </c>
      <c r="N35" s="32" t="s">
        <v>905</v>
      </c>
      <c r="O35" s="31">
        <f>19190</f>
        <v>19190</v>
      </c>
      <c r="P35" s="32" t="s">
        <v>820</v>
      </c>
      <c r="Q35" s="31">
        <f>20365</f>
        <v>20365</v>
      </c>
      <c r="R35" s="32" t="s">
        <v>94</v>
      </c>
      <c r="S35" s="33">
        <f>21221.67</f>
        <v>21221.67</v>
      </c>
      <c r="T35" s="30">
        <f>1187451</f>
        <v>1187451</v>
      </c>
      <c r="U35" s="30">
        <f>1</f>
        <v>1</v>
      </c>
      <c r="V35" s="30">
        <f>24893997570</f>
        <v>24893997570</v>
      </c>
      <c r="W35" s="30">
        <f>20150</f>
        <v>20150</v>
      </c>
      <c r="X35" s="34">
        <f>18</f>
        <v>18</v>
      </c>
    </row>
    <row r="36" spans="1:24" x14ac:dyDescent="0.15">
      <c r="A36" s="25" t="s">
        <v>903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1102</f>
        <v>1102</v>
      </c>
      <c r="L36" s="32" t="s">
        <v>904</v>
      </c>
      <c r="M36" s="31">
        <f>1228</f>
        <v>1228</v>
      </c>
      <c r="N36" s="32" t="s">
        <v>820</v>
      </c>
      <c r="O36" s="31">
        <f>1056</f>
        <v>1056</v>
      </c>
      <c r="P36" s="32" t="s">
        <v>905</v>
      </c>
      <c r="Q36" s="31">
        <f>1157</f>
        <v>1157</v>
      </c>
      <c r="R36" s="32" t="s">
        <v>94</v>
      </c>
      <c r="S36" s="33">
        <f>1119.17</f>
        <v>1119.17</v>
      </c>
      <c r="T36" s="30">
        <f>26479560</f>
        <v>26479560</v>
      </c>
      <c r="U36" s="30">
        <f>30705</f>
        <v>30705</v>
      </c>
      <c r="V36" s="30">
        <f>29823412944</f>
        <v>29823412944</v>
      </c>
      <c r="W36" s="30">
        <f>33861947</f>
        <v>33861947</v>
      </c>
      <c r="X36" s="34">
        <f>18</f>
        <v>18</v>
      </c>
    </row>
    <row r="37" spans="1:24" x14ac:dyDescent="0.15">
      <c r="A37" s="25" t="s">
        <v>903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17885</f>
        <v>17885</v>
      </c>
      <c r="L37" s="32" t="s">
        <v>904</v>
      </c>
      <c r="M37" s="31">
        <f>18985</f>
        <v>18985</v>
      </c>
      <c r="N37" s="32" t="s">
        <v>905</v>
      </c>
      <c r="O37" s="31">
        <f>16585</f>
        <v>16585</v>
      </c>
      <c r="P37" s="32" t="s">
        <v>820</v>
      </c>
      <c r="Q37" s="31">
        <f>17415</f>
        <v>17415</v>
      </c>
      <c r="R37" s="32" t="s">
        <v>94</v>
      </c>
      <c r="S37" s="33">
        <f>17995</f>
        <v>17995</v>
      </c>
      <c r="T37" s="30">
        <f>214662</f>
        <v>214662</v>
      </c>
      <c r="U37" s="30" t="str">
        <f>"－"</f>
        <v>－</v>
      </c>
      <c r="V37" s="30">
        <f>3835290390</f>
        <v>3835290390</v>
      </c>
      <c r="W37" s="30" t="str">
        <f>"－"</f>
        <v>－</v>
      </c>
      <c r="X37" s="34">
        <f>18</f>
        <v>18</v>
      </c>
    </row>
    <row r="38" spans="1:24" x14ac:dyDescent="0.15">
      <c r="A38" s="25" t="s">
        <v>903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1587</f>
        <v>1587</v>
      </c>
      <c r="L38" s="32" t="s">
        <v>904</v>
      </c>
      <c r="M38" s="31">
        <f>1694</f>
        <v>1694</v>
      </c>
      <c r="N38" s="32" t="s">
        <v>820</v>
      </c>
      <c r="O38" s="31">
        <f>1490</f>
        <v>1490</v>
      </c>
      <c r="P38" s="32" t="s">
        <v>905</v>
      </c>
      <c r="Q38" s="31">
        <f>1615</f>
        <v>1615</v>
      </c>
      <c r="R38" s="32" t="s">
        <v>94</v>
      </c>
      <c r="S38" s="33">
        <f>1571.67</f>
        <v>1571.67</v>
      </c>
      <c r="T38" s="30">
        <f>1335477</f>
        <v>1335477</v>
      </c>
      <c r="U38" s="30">
        <f>1</f>
        <v>1</v>
      </c>
      <c r="V38" s="30">
        <f>2121994722</f>
        <v>2121994722</v>
      </c>
      <c r="W38" s="30">
        <f>1632</f>
        <v>1632</v>
      </c>
      <c r="X38" s="34">
        <f>18</f>
        <v>18</v>
      </c>
    </row>
    <row r="39" spans="1:24" x14ac:dyDescent="0.15">
      <c r="A39" s="25" t="s">
        <v>903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27275</f>
        <v>27275</v>
      </c>
      <c r="L39" s="32" t="s">
        <v>904</v>
      </c>
      <c r="M39" s="31">
        <f>27850</f>
        <v>27850</v>
      </c>
      <c r="N39" s="32" t="s">
        <v>905</v>
      </c>
      <c r="O39" s="31">
        <f>25775</f>
        <v>25775</v>
      </c>
      <c r="P39" s="32" t="s">
        <v>820</v>
      </c>
      <c r="Q39" s="31">
        <f>26525</f>
        <v>26525</v>
      </c>
      <c r="R39" s="32" t="s">
        <v>94</v>
      </c>
      <c r="S39" s="33">
        <f>27056.94</f>
        <v>27056.94</v>
      </c>
      <c r="T39" s="30">
        <f>184326</f>
        <v>184326</v>
      </c>
      <c r="U39" s="30">
        <f>12001</f>
        <v>12001</v>
      </c>
      <c r="V39" s="30">
        <f>4898097375</f>
        <v>4898097375</v>
      </c>
      <c r="W39" s="30">
        <f>320601070</f>
        <v>320601070</v>
      </c>
      <c r="X39" s="34">
        <f>18</f>
        <v>18</v>
      </c>
    </row>
    <row r="40" spans="1:24" x14ac:dyDescent="0.15">
      <c r="A40" s="25" t="s">
        <v>903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5520</f>
        <v>5520</v>
      </c>
      <c r="L40" s="32" t="s">
        <v>904</v>
      </c>
      <c r="M40" s="31">
        <f>5593</f>
        <v>5593</v>
      </c>
      <c r="N40" s="32" t="s">
        <v>905</v>
      </c>
      <c r="O40" s="31">
        <f>4959</f>
        <v>4959</v>
      </c>
      <c r="P40" s="32" t="s">
        <v>820</v>
      </c>
      <c r="Q40" s="31">
        <f>5014</f>
        <v>5014</v>
      </c>
      <c r="R40" s="32" t="s">
        <v>94</v>
      </c>
      <c r="S40" s="33">
        <f>5396.72</f>
        <v>5396.72</v>
      </c>
      <c r="T40" s="30">
        <f>5389</f>
        <v>5389</v>
      </c>
      <c r="U40" s="30">
        <f>910</f>
        <v>910</v>
      </c>
      <c r="V40" s="30">
        <f>28718711</f>
        <v>28718711</v>
      </c>
      <c r="W40" s="30">
        <f>4970329</f>
        <v>4970329</v>
      </c>
      <c r="X40" s="34">
        <f>18</f>
        <v>18</v>
      </c>
    </row>
    <row r="41" spans="1:24" x14ac:dyDescent="0.15">
      <c r="A41" s="25" t="s">
        <v>903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9934</f>
        <v>9934</v>
      </c>
      <c r="L41" s="32" t="s">
        <v>904</v>
      </c>
      <c r="M41" s="31">
        <f>10230</f>
        <v>10230</v>
      </c>
      <c r="N41" s="32" t="s">
        <v>905</v>
      </c>
      <c r="O41" s="31">
        <f>9298</f>
        <v>9298</v>
      </c>
      <c r="P41" s="32" t="s">
        <v>820</v>
      </c>
      <c r="Q41" s="31">
        <f>9438</f>
        <v>9438</v>
      </c>
      <c r="R41" s="32" t="s">
        <v>94</v>
      </c>
      <c r="S41" s="33">
        <f>9856.89</f>
        <v>9856.89</v>
      </c>
      <c r="T41" s="30">
        <f>1937</f>
        <v>1937</v>
      </c>
      <c r="U41" s="30" t="str">
        <f t="shared" ref="U41:U49" si="0">"－"</f>
        <v>－</v>
      </c>
      <c r="V41" s="30">
        <f>18859825</f>
        <v>18859825</v>
      </c>
      <c r="W41" s="30" t="str">
        <f t="shared" ref="W41:W49" si="1">"－"</f>
        <v>－</v>
      </c>
      <c r="X41" s="34">
        <f>18</f>
        <v>18</v>
      </c>
    </row>
    <row r="42" spans="1:24" x14ac:dyDescent="0.15">
      <c r="A42" s="25" t="s">
        <v>903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19215</f>
        <v>19215</v>
      </c>
      <c r="L42" s="32" t="s">
        <v>909</v>
      </c>
      <c r="M42" s="31">
        <f>19435</f>
        <v>19435</v>
      </c>
      <c r="N42" s="32" t="s">
        <v>819</v>
      </c>
      <c r="O42" s="31">
        <f>17410</f>
        <v>17410</v>
      </c>
      <c r="P42" s="32" t="s">
        <v>94</v>
      </c>
      <c r="Q42" s="31">
        <f>17410</f>
        <v>17410</v>
      </c>
      <c r="R42" s="32" t="s">
        <v>94</v>
      </c>
      <c r="S42" s="33">
        <f>18505</f>
        <v>18505</v>
      </c>
      <c r="T42" s="30">
        <f>167</f>
        <v>167</v>
      </c>
      <c r="U42" s="30" t="str">
        <f t="shared" si="0"/>
        <v>－</v>
      </c>
      <c r="V42" s="30">
        <f>3068030</f>
        <v>3068030</v>
      </c>
      <c r="W42" s="30" t="str">
        <f t="shared" si="1"/>
        <v>－</v>
      </c>
      <c r="X42" s="34">
        <f>9</f>
        <v>9</v>
      </c>
    </row>
    <row r="43" spans="1:24" x14ac:dyDescent="0.15">
      <c r="A43" s="25" t="s">
        <v>903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16490</f>
        <v>16490</v>
      </c>
      <c r="L43" s="32" t="s">
        <v>909</v>
      </c>
      <c r="M43" s="31">
        <f>16945</f>
        <v>16945</v>
      </c>
      <c r="N43" s="32" t="s">
        <v>907</v>
      </c>
      <c r="O43" s="31">
        <f>15330</f>
        <v>15330</v>
      </c>
      <c r="P43" s="32" t="s">
        <v>820</v>
      </c>
      <c r="Q43" s="31">
        <f>15520</f>
        <v>15520</v>
      </c>
      <c r="R43" s="32" t="s">
        <v>94</v>
      </c>
      <c r="S43" s="33">
        <f>16165.5</f>
        <v>16165.5</v>
      </c>
      <c r="T43" s="30">
        <f>171</f>
        <v>171</v>
      </c>
      <c r="U43" s="30" t="str">
        <f t="shared" si="0"/>
        <v>－</v>
      </c>
      <c r="V43" s="30">
        <f>2727760</f>
        <v>2727760</v>
      </c>
      <c r="W43" s="30" t="str">
        <f t="shared" si="1"/>
        <v>－</v>
      </c>
      <c r="X43" s="34">
        <f>10</f>
        <v>10</v>
      </c>
    </row>
    <row r="44" spans="1:24" x14ac:dyDescent="0.15">
      <c r="A44" s="25" t="s">
        <v>903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10710</f>
        <v>10710</v>
      </c>
      <c r="L44" s="32" t="s">
        <v>909</v>
      </c>
      <c r="M44" s="31">
        <f>11200</f>
        <v>11200</v>
      </c>
      <c r="N44" s="32" t="s">
        <v>905</v>
      </c>
      <c r="O44" s="31">
        <f>10235</f>
        <v>10235</v>
      </c>
      <c r="P44" s="32" t="s">
        <v>815</v>
      </c>
      <c r="Q44" s="31">
        <f>10605</f>
        <v>10605</v>
      </c>
      <c r="R44" s="32" t="s">
        <v>94</v>
      </c>
      <c r="S44" s="33">
        <f>10735.88</f>
        <v>10735.88</v>
      </c>
      <c r="T44" s="30">
        <f>1549</f>
        <v>1549</v>
      </c>
      <c r="U44" s="30" t="str">
        <f t="shared" si="0"/>
        <v>－</v>
      </c>
      <c r="V44" s="30">
        <f>16566895</f>
        <v>16566895</v>
      </c>
      <c r="W44" s="30" t="str">
        <f t="shared" si="1"/>
        <v>－</v>
      </c>
      <c r="X44" s="34">
        <f>17</f>
        <v>17</v>
      </c>
    </row>
    <row r="45" spans="1:24" x14ac:dyDescent="0.15">
      <c r="A45" s="25" t="s">
        <v>903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5070</f>
        <v>5070</v>
      </c>
      <c r="L45" s="32" t="s">
        <v>904</v>
      </c>
      <c r="M45" s="31">
        <f>5400</f>
        <v>5400</v>
      </c>
      <c r="N45" s="32" t="s">
        <v>905</v>
      </c>
      <c r="O45" s="31">
        <f>5000</f>
        <v>5000</v>
      </c>
      <c r="P45" s="32" t="s">
        <v>904</v>
      </c>
      <c r="Q45" s="31">
        <f>5150</f>
        <v>5150</v>
      </c>
      <c r="R45" s="32" t="s">
        <v>94</v>
      </c>
      <c r="S45" s="33">
        <f>5217.22</f>
        <v>5217.22</v>
      </c>
      <c r="T45" s="30">
        <f>2725</f>
        <v>2725</v>
      </c>
      <c r="U45" s="30" t="str">
        <f t="shared" si="0"/>
        <v>－</v>
      </c>
      <c r="V45" s="30">
        <f>14099210</f>
        <v>14099210</v>
      </c>
      <c r="W45" s="30" t="str">
        <f t="shared" si="1"/>
        <v>－</v>
      </c>
      <c r="X45" s="34">
        <f>18</f>
        <v>18</v>
      </c>
    </row>
    <row r="46" spans="1:24" x14ac:dyDescent="0.15">
      <c r="A46" s="25" t="s">
        <v>903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3005</f>
        <v>3005</v>
      </c>
      <c r="L46" s="32" t="s">
        <v>904</v>
      </c>
      <c r="M46" s="31">
        <f>3005</f>
        <v>3005</v>
      </c>
      <c r="N46" s="32" t="s">
        <v>904</v>
      </c>
      <c r="O46" s="31">
        <f>2750</f>
        <v>2750</v>
      </c>
      <c r="P46" s="32" t="s">
        <v>820</v>
      </c>
      <c r="Q46" s="31">
        <f>2810</f>
        <v>2810</v>
      </c>
      <c r="R46" s="32" t="s">
        <v>94</v>
      </c>
      <c r="S46" s="33">
        <f>2917.56</f>
        <v>2917.56</v>
      </c>
      <c r="T46" s="30">
        <f>5721</f>
        <v>5721</v>
      </c>
      <c r="U46" s="30" t="str">
        <f t="shared" si="0"/>
        <v>－</v>
      </c>
      <c r="V46" s="30">
        <f>16557672</f>
        <v>16557672</v>
      </c>
      <c r="W46" s="30" t="str">
        <f t="shared" si="1"/>
        <v>－</v>
      </c>
      <c r="X46" s="34">
        <f>18</f>
        <v>18</v>
      </c>
    </row>
    <row r="47" spans="1:24" x14ac:dyDescent="0.15">
      <c r="A47" s="25" t="s">
        <v>903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2899</f>
        <v>2899</v>
      </c>
      <c r="L47" s="32" t="s">
        <v>904</v>
      </c>
      <c r="M47" s="31">
        <f>2990</f>
        <v>2990</v>
      </c>
      <c r="N47" s="32" t="s">
        <v>905</v>
      </c>
      <c r="O47" s="31">
        <f>2801</f>
        <v>2801</v>
      </c>
      <c r="P47" s="32" t="s">
        <v>820</v>
      </c>
      <c r="Q47" s="31">
        <f>2850</f>
        <v>2850</v>
      </c>
      <c r="R47" s="32" t="s">
        <v>94</v>
      </c>
      <c r="S47" s="33">
        <f>2911.17</f>
        <v>2911.17</v>
      </c>
      <c r="T47" s="30">
        <f>2047</f>
        <v>2047</v>
      </c>
      <c r="U47" s="30" t="str">
        <f t="shared" si="0"/>
        <v>－</v>
      </c>
      <c r="V47" s="30">
        <f>5948956</f>
        <v>5948956</v>
      </c>
      <c r="W47" s="30" t="str">
        <f t="shared" si="1"/>
        <v>－</v>
      </c>
      <c r="X47" s="34">
        <f>18</f>
        <v>18</v>
      </c>
    </row>
    <row r="48" spans="1:24" x14ac:dyDescent="0.15">
      <c r="A48" s="25" t="s">
        <v>903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50870</f>
        <v>50870</v>
      </c>
      <c r="L48" s="32" t="s">
        <v>904</v>
      </c>
      <c r="M48" s="31">
        <f>52250</f>
        <v>52250</v>
      </c>
      <c r="N48" s="32" t="s">
        <v>905</v>
      </c>
      <c r="O48" s="31">
        <f>45630</f>
        <v>45630</v>
      </c>
      <c r="P48" s="32" t="s">
        <v>820</v>
      </c>
      <c r="Q48" s="31">
        <f>48870</f>
        <v>48870</v>
      </c>
      <c r="R48" s="32" t="s">
        <v>94</v>
      </c>
      <c r="S48" s="33">
        <f>50116.67</f>
        <v>50116.67</v>
      </c>
      <c r="T48" s="30">
        <f>1117</f>
        <v>1117</v>
      </c>
      <c r="U48" s="30" t="str">
        <f t="shared" si="0"/>
        <v>－</v>
      </c>
      <c r="V48" s="30">
        <f>55199340</f>
        <v>55199340</v>
      </c>
      <c r="W48" s="30" t="str">
        <f t="shared" si="1"/>
        <v>－</v>
      </c>
      <c r="X48" s="34">
        <f>18</f>
        <v>18</v>
      </c>
    </row>
    <row r="49" spans="1:24" x14ac:dyDescent="0.15">
      <c r="A49" s="25" t="s">
        <v>903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35510</f>
        <v>35510</v>
      </c>
      <c r="L49" s="32" t="s">
        <v>904</v>
      </c>
      <c r="M49" s="31">
        <f>36510</f>
        <v>36510</v>
      </c>
      <c r="N49" s="32" t="s">
        <v>909</v>
      </c>
      <c r="O49" s="31">
        <f>32510</f>
        <v>32510</v>
      </c>
      <c r="P49" s="32" t="s">
        <v>820</v>
      </c>
      <c r="Q49" s="31">
        <f>34080</f>
        <v>34080</v>
      </c>
      <c r="R49" s="32" t="s">
        <v>94</v>
      </c>
      <c r="S49" s="33">
        <f>35084.67</f>
        <v>35084.67</v>
      </c>
      <c r="T49" s="30">
        <f>360</f>
        <v>360</v>
      </c>
      <c r="U49" s="30" t="str">
        <f t="shared" si="0"/>
        <v>－</v>
      </c>
      <c r="V49" s="30">
        <f>12647570</f>
        <v>12647570</v>
      </c>
      <c r="W49" s="30" t="str">
        <f t="shared" si="1"/>
        <v>－</v>
      </c>
      <c r="X49" s="34">
        <f>15</f>
        <v>15</v>
      </c>
    </row>
    <row r="50" spans="1:24" x14ac:dyDescent="0.15">
      <c r="A50" s="25" t="s">
        <v>903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27550</f>
        <v>27550</v>
      </c>
      <c r="L50" s="32" t="s">
        <v>904</v>
      </c>
      <c r="M50" s="31">
        <f>28105</f>
        <v>28105</v>
      </c>
      <c r="N50" s="32" t="s">
        <v>905</v>
      </c>
      <c r="O50" s="31">
        <f>26030</f>
        <v>26030</v>
      </c>
      <c r="P50" s="32" t="s">
        <v>820</v>
      </c>
      <c r="Q50" s="31">
        <f>26670</f>
        <v>26670</v>
      </c>
      <c r="R50" s="32" t="s">
        <v>94</v>
      </c>
      <c r="S50" s="33">
        <f>27257</f>
        <v>27257</v>
      </c>
      <c r="T50" s="30">
        <f>6464</f>
        <v>6464</v>
      </c>
      <c r="U50" s="30">
        <f>1883</f>
        <v>1883</v>
      </c>
      <c r="V50" s="30">
        <f>175070266</f>
        <v>175070266</v>
      </c>
      <c r="W50" s="30">
        <f>49983481</f>
        <v>49983481</v>
      </c>
      <c r="X50" s="34">
        <f>15</f>
        <v>15</v>
      </c>
    </row>
    <row r="51" spans="1:24" x14ac:dyDescent="0.15">
      <c r="A51" s="25" t="s">
        <v>903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2033.5</f>
        <v>2033.5</v>
      </c>
      <c r="L51" s="32" t="s">
        <v>904</v>
      </c>
      <c r="M51" s="31">
        <f>2033.5</f>
        <v>2033.5</v>
      </c>
      <c r="N51" s="32" t="s">
        <v>904</v>
      </c>
      <c r="O51" s="31">
        <f>1900</f>
        <v>1900</v>
      </c>
      <c r="P51" s="32" t="s">
        <v>908</v>
      </c>
      <c r="Q51" s="31">
        <f>1929</f>
        <v>1929</v>
      </c>
      <c r="R51" s="32" t="s">
        <v>94</v>
      </c>
      <c r="S51" s="33">
        <f>1950.19</f>
        <v>1950.19</v>
      </c>
      <c r="T51" s="30">
        <f>151620</f>
        <v>151620</v>
      </c>
      <c r="U51" s="30" t="str">
        <f>"－"</f>
        <v>－</v>
      </c>
      <c r="V51" s="30">
        <f>295368375</f>
        <v>295368375</v>
      </c>
      <c r="W51" s="30" t="str">
        <f>"－"</f>
        <v>－</v>
      </c>
      <c r="X51" s="34">
        <f>18</f>
        <v>18</v>
      </c>
    </row>
    <row r="52" spans="1:24" x14ac:dyDescent="0.15">
      <c r="A52" s="25" t="s">
        <v>903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1543</f>
        <v>1543</v>
      </c>
      <c r="L52" s="32" t="s">
        <v>904</v>
      </c>
      <c r="M52" s="31">
        <f>1594</f>
        <v>1594</v>
      </c>
      <c r="N52" s="32" t="s">
        <v>814</v>
      </c>
      <c r="O52" s="31">
        <f>1527.5</f>
        <v>1527.5</v>
      </c>
      <c r="P52" s="32" t="s">
        <v>820</v>
      </c>
      <c r="Q52" s="31">
        <f>1554.5</f>
        <v>1554.5</v>
      </c>
      <c r="R52" s="32" t="s">
        <v>94</v>
      </c>
      <c r="S52" s="33">
        <f>1565.47</f>
        <v>1565.47</v>
      </c>
      <c r="T52" s="30">
        <f>3460</f>
        <v>3460</v>
      </c>
      <c r="U52" s="30" t="str">
        <f>"－"</f>
        <v>－</v>
      </c>
      <c r="V52" s="30">
        <f>5462390</f>
        <v>5462390</v>
      </c>
      <c r="W52" s="30" t="str">
        <f>"－"</f>
        <v>－</v>
      </c>
      <c r="X52" s="34">
        <f>16</f>
        <v>16</v>
      </c>
    </row>
    <row r="53" spans="1:24" x14ac:dyDescent="0.15">
      <c r="A53" s="25" t="s">
        <v>903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4425</f>
        <v>4425</v>
      </c>
      <c r="L53" s="32" t="s">
        <v>904</v>
      </c>
      <c r="M53" s="31">
        <f>4675</f>
        <v>4675</v>
      </c>
      <c r="N53" s="32" t="s">
        <v>820</v>
      </c>
      <c r="O53" s="31">
        <f>4335</f>
        <v>4335</v>
      </c>
      <c r="P53" s="32" t="s">
        <v>905</v>
      </c>
      <c r="Q53" s="31">
        <f>4550</f>
        <v>4550</v>
      </c>
      <c r="R53" s="32" t="s">
        <v>94</v>
      </c>
      <c r="S53" s="33">
        <f>4463.06</f>
        <v>4463.0600000000004</v>
      </c>
      <c r="T53" s="30">
        <f>1296850</f>
        <v>1296850</v>
      </c>
      <c r="U53" s="30">
        <f>1</f>
        <v>1</v>
      </c>
      <c r="V53" s="30">
        <f>5729595880</f>
        <v>5729595880</v>
      </c>
      <c r="W53" s="30">
        <f>4460</f>
        <v>4460</v>
      </c>
      <c r="X53" s="34">
        <f>18</f>
        <v>18</v>
      </c>
    </row>
    <row r="54" spans="1:24" x14ac:dyDescent="0.15">
      <c r="A54" s="25" t="s">
        <v>903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5220</f>
        <v>5220</v>
      </c>
      <c r="L54" s="32" t="s">
        <v>904</v>
      </c>
      <c r="M54" s="31">
        <f>5410</f>
        <v>5410</v>
      </c>
      <c r="N54" s="32" t="s">
        <v>820</v>
      </c>
      <c r="O54" s="31">
        <f>5070</f>
        <v>5070</v>
      </c>
      <c r="P54" s="32" t="s">
        <v>905</v>
      </c>
      <c r="Q54" s="31">
        <f>5330</f>
        <v>5330</v>
      </c>
      <c r="R54" s="32" t="s">
        <v>94</v>
      </c>
      <c r="S54" s="33">
        <f>5211.11</f>
        <v>5211.1099999999997</v>
      </c>
      <c r="T54" s="30">
        <f>629843</f>
        <v>629843</v>
      </c>
      <c r="U54" s="30" t="str">
        <f>"－"</f>
        <v>－</v>
      </c>
      <c r="V54" s="30">
        <f>3277574350</f>
        <v>3277574350</v>
      </c>
      <c r="W54" s="30" t="str">
        <f>"－"</f>
        <v>－</v>
      </c>
      <c r="X54" s="34">
        <f>18</f>
        <v>18</v>
      </c>
    </row>
    <row r="55" spans="1:24" x14ac:dyDescent="0.15">
      <c r="A55" s="25" t="s">
        <v>903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16420</f>
        <v>16420</v>
      </c>
      <c r="L55" s="32" t="s">
        <v>904</v>
      </c>
      <c r="M55" s="31">
        <f>17090</f>
        <v>17090</v>
      </c>
      <c r="N55" s="32" t="s">
        <v>905</v>
      </c>
      <c r="O55" s="31">
        <f>14565</f>
        <v>14565</v>
      </c>
      <c r="P55" s="32" t="s">
        <v>820</v>
      </c>
      <c r="Q55" s="31">
        <f>15455</f>
        <v>15455</v>
      </c>
      <c r="R55" s="32" t="s">
        <v>94</v>
      </c>
      <c r="S55" s="33">
        <f>16110.28</f>
        <v>16110.28</v>
      </c>
      <c r="T55" s="30">
        <f>15916491</f>
        <v>15916491</v>
      </c>
      <c r="U55" s="30">
        <f>100</f>
        <v>100</v>
      </c>
      <c r="V55" s="30">
        <f>253975848100</f>
        <v>253975848100</v>
      </c>
      <c r="W55" s="30">
        <f>1630000</f>
        <v>1630000</v>
      </c>
      <c r="X55" s="34">
        <f>18</f>
        <v>18</v>
      </c>
    </row>
    <row r="56" spans="1:24" x14ac:dyDescent="0.15">
      <c r="A56" s="25" t="s">
        <v>903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1690</f>
        <v>1690</v>
      </c>
      <c r="L56" s="32" t="s">
        <v>904</v>
      </c>
      <c r="M56" s="31">
        <f>1883</f>
        <v>1883</v>
      </c>
      <c r="N56" s="32" t="s">
        <v>820</v>
      </c>
      <c r="O56" s="31">
        <f>1618</f>
        <v>1618</v>
      </c>
      <c r="P56" s="32" t="s">
        <v>905</v>
      </c>
      <c r="Q56" s="31">
        <f>1773</f>
        <v>1773</v>
      </c>
      <c r="R56" s="32" t="s">
        <v>94</v>
      </c>
      <c r="S56" s="33">
        <f>1714.94</f>
        <v>1714.94</v>
      </c>
      <c r="T56" s="30">
        <f>160544354</f>
        <v>160544354</v>
      </c>
      <c r="U56" s="30">
        <f>165</f>
        <v>165</v>
      </c>
      <c r="V56" s="30">
        <f>278051254208</f>
        <v>278051254208</v>
      </c>
      <c r="W56" s="30">
        <f>284985</f>
        <v>284985</v>
      </c>
      <c r="X56" s="34">
        <f>18</f>
        <v>18</v>
      </c>
    </row>
    <row r="57" spans="1:24" x14ac:dyDescent="0.15">
      <c r="A57" s="25" t="s">
        <v>903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14290</f>
        <v>14290</v>
      </c>
      <c r="L57" s="32" t="s">
        <v>904</v>
      </c>
      <c r="M57" s="31">
        <f>15000</f>
        <v>15000</v>
      </c>
      <c r="N57" s="32" t="s">
        <v>905</v>
      </c>
      <c r="O57" s="31">
        <f>13250</f>
        <v>13250</v>
      </c>
      <c r="P57" s="32" t="s">
        <v>820</v>
      </c>
      <c r="Q57" s="31">
        <f>13585</f>
        <v>13585</v>
      </c>
      <c r="R57" s="32" t="s">
        <v>94</v>
      </c>
      <c r="S57" s="33">
        <f>14253.33</f>
        <v>14253.33</v>
      </c>
      <c r="T57" s="30">
        <f>4402</f>
        <v>4402</v>
      </c>
      <c r="U57" s="30" t="str">
        <f>"－"</f>
        <v>－</v>
      </c>
      <c r="V57" s="30">
        <f>62373160</f>
        <v>62373160</v>
      </c>
      <c r="W57" s="30" t="str">
        <f>"－"</f>
        <v>－</v>
      </c>
      <c r="X57" s="34">
        <f>18</f>
        <v>18</v>
      </c>
    </row>
    <row r="58" spans="1:24" x14ac:dyDescent="0.15">
      <c r="A58" s="25" t="s">
        <v>903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5110</f>
        <v>5110</v>
      </c>
      <c r="L58" s="32" t="s">
        <v>904</v>
      </c>
      <c r="M58" s="31">
        <f>5220</f>
        <v>5220</v>
      </c>
      <c r="N58" s="32" t="s">
        <v>820</v>
      </c>
      <c r="O58" s="31">
        <f>4910</f>
        <v>4910</v>
      </c>
      <c r="P58" s="32" t="s">
        <v>905</v>
      </c>
      <c r="Q58" s="31">
        <f>5140</f>
        <v>5140</v>
      </c>
      <c r="R58" s="32" t="s">
        <v>815</v>
      </c>
      <c r="S58" s="33">
        <f>5055.42</f>
        <v>5055.42</v>
      </c>
      <c r="T58" s="30">
        <f>250</f>
        <v>250</v>
      </c>
      <c r="U58" s="30" t="str">
        <f>"－"</f>
        <v>－</v>
      </c>
      <c r="V58" s="30">
        <f>1268810</f>
        <v>1268810</v>
      </c>
      <c r="W58" s="30" t="str">
        <f>"－"</f>
        <v>－</v>
      </c>
      <c r="X58" s="34">
        <f>12</f>
        <v>12</v>
      </c>
    </row>
    <row r="59" spans="1:24" x14ac:dyDescent="0.15">
      <c r="A59" s="25" t="s">
        <v>903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2050</f>
        <v>2050</v>
      </c>
      <c r="L59" s="32" t="s">
        <v>904</v>
      </c>
      <c r="M59" s="31">
        <f>2191</f>
        <v>2191</v>
      </c>
      <c r="N59" s="32" t="s">
        <v>820</v>
      </c>
      <c r="O59" s="31">
        <f>1940</f>
        <v>1940</v>
      </c>
      <c r="P59" s="32" t="s">
        <v>905</v>
      </c>
      <c r="Q59" s="31">
        <f>2103</f>
        <v>2103</v>
      </c>
      <c r="R59" s="32" t="s">
        <v>94</v>
      </c>
      <c r="S59" s="33">
        <f>2041.28</f>
        <v>2041.28</v>
      </c>
      <c r="T59" s="30">
        <f>27141</f>
        <v>27141</v>
      </c>
      <c r="U59" s="30" t="str">
        <f>"－"</f>
        <v>－</v>
      </c>
      <c r="V59" s="30">
        <f>56094563</f>
        <v>56094563</v>
      </c>
      <c r="W59" s="30" t="str">
        <f>"－"</f>
        <v>－</v>
      </c>
      <c r="X59" s="34">
        <f>18</f>
        <v>18</v>
      </c>
    </row>
    <row r="60" spans="1:24" x14ac:dyDescent="0.15">
      <c r="A60" s="25" t="s">
        <v>903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13125</f>
        <v>13125</v>
      </c>
      <c r="L60" s="32" t="s">
        <v>904</v>
      </c>
      <c r="M60" s="31">
        <f>14280</f>
        <v>14280</v>
      </c>
      <c r="N60" s="32" t="s">
        <v>905</v>
      </c>
      <c r="O60" s="31">
        <f>12300</f>
        <v>12300</v>
      </c>
      <c r="P60" s="32" t="s">
        <v>820</v>
      </c>
      <c r="Q60" s="31">
        <f>12985</f>
        <v>12985</v>
      </c>
      <c r="R60" s="32" t="s">
        <v>94</v>
      </c>
      <c r="S60" s="33">
        <f>13424.44</f>
        <v>13424.44</v>
      </c>
      <c r="T60" s="30">
        <f>7610</f>
        <v>7610</v>
      </c>
      <c r="U60" s="30">
        <f>40</f>
        <v>40</v>
      </c>
      <c r="V60" s="30">
        <f>101659900</f>
        <v>101659900</v>
      </c>
      <c r="W60" s="30">
        <f>520200</f>
        <v>520200</v>
      </c>
      <c r="X60" s="34">
        <f>18</f>
        <v>18</v>
      </c>
    </row>
    <row r="61" spans="1:24" x14ac:dyDescent="0.15">
      <c r="A61" s="25" t="s">
        <v>903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4699</f>
        <v>4699</v>
      </c>
      <c r="L61" s="32" t="s">
        <v>905</v>
      </c>
      <c r="M61" s="31">
        <f>5532</f>
        <v>5532</v>
      </c>
      <c r="N61" s="32" t="s">
        <v>815</v>
      </c>
      <c r="O61" s="31">
        <f>4652</f>
        <v>4652</v>
      </c>
      <c r="P61" s="32" t="s">
        <v>815</v>
      </c>
      <c r="Q61" s="31">
        <f>4859</f>
        <v>4859</v>
      </c>
      <c r="R61" s="32" t="s">
        <v>94</v>
      </c>
      <c r="S61" s="33">
        <f>4767.4</f>
        <v>4767.3999999999996</v>
      </c>
      <c r="T61" s="30">
        <f>570</f>
        <v>570</v>
      </c>
      <c r="U61" s="30" t="str">
        <f>"－"</f>
        <v>－</v>
      </c>
      <c r="V61" s="30">
        <f>2728440</f>
        <v>2728440</v>
      </c>
      <c r="W61" s="30" t="str">
        <f>"－"</f>
        <v>－</v>
      </c>
      <c r="X61" s="34">
        <f>5</f>
        <v>5</v>
      </c>
    </row>
    <row r="62" spans="1:24" x14ac:dyDescent="0.15">
      <c r="A62" s="25" t="s">
        <v>903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2018</f>
        <v>2018</v>
      </c>
      <c r="L62" s="32" t="s">
        <v>904</v>
      </c>
      <c r="M62" s="31">
        <f>2156.5</f>
        <v>2156.5</v>
      </c>
      <c r="N62" s="32" t="s">
        <v>820</v>
      </c>
      <c r="O62" s="31">
        <f>1916</f>
        <v>1916</v>
      </c>
      <c r="P62" s="32" t="s">
        <v>905</v>
      </c>
      <c r="Q62" s="31">
        <f>2095</f>
        <v>2095</v>
      </c>
      <c r="R62" s="32" t="s">
        <v>94</v>
      </c>
      <c r="S62" s="33">
        <f>2012.97</f>
        <v>2012.97</v>
      </c>
      <c r="T62" s="30">
        <f>85040</f>
        <v>85040</v>
      </c>
      <c r="U62" s="30">
        <f>30</f>
        <v>30</v>
      </c>
      <c r="V62" s="30">
        <f>171048510</f>
        <v>171048510</v>
      </c>
      <c r="W62" s="30">
        <f>60970</f>
        <v>60970</v>
      </c>
      <c r="X62" s="34">
        <f>18</f>
        <v>18</v>
      </c>
    </row>
    <row r="63" spans="1:24" x14ac:dyDescent="0.15">
      <c r="A63" s="25" t="s">
        <v>903</v>
      </c>
      <c r="B63" s="25" t="s">
        <v>218</v>
      </c>
      <c r="C63" s="25" t="s">
        <v>219</v>
      </c>
      <c r="D63" s="25" t="s">
        <v>220</v>
      </c>
      <c r="E63" s="26" t="s">
        <v>45</v>
      </c>
      <c r="F63" s="27" t="s">
        <v>45</v>
      </c>
      <c r="G63" s="28" t="s">
        <v>45</v>
      </c>
      <c r="H63" s="29" t="s">
        <v>910</v>
      </c>
      <c r="I63" s="29"/>
      <c r="J63" s="30">
        <v>1</v>
      </c>
      <c r="K63" s="31">
        <f>3270</f>
        <v>3270</v>
      </c>
      <c r="L63" s="32" t="s">
        <v>909</v>
      </c>
      <c r="M63" s="31">
        <f>3395</f>
        <v>3395</v>
      </c>
      <c r="N63" s="32" t="s">
        <v>94</v>
      </c>
      <c r="O63" s="31">
        <f>3100</f>
        <v>3100</v>
      </c>
      <c r="P63" s="32" t="s">
        <v>66</v>
      </c>
      <c r="Q63" s="31">
        <f>3395</f>
        <v>3395</v>
      </c>
      <c r="R63" s="32" t="s">
        <v>94</v>
      </c>
      <c r="S63" s="33">
        <f>3245.38</f>
        <v>3245.38</v>
      </c>
      <c r="T63" s="30">
        <f>279</f>
        <v>279</v>
      </c>
      <c r="U63" s="30" t="str">
        <f>"－"</f>
        <v>－</v>
      </c>
      <c r="V63" s="30">
        <f>893730</f>
        <v>893730</v>
      </c>
      <c r="W63" s="30" t="str">
        <f>"－"</f>
        <v>－</v>
      </c>
      <c r="X63" s="34">
        <f>13</f>
        <v>13</v>
      </c>
    </row>
    <row r="64" spans="1:24" x14ac:dyDescent="0.15">
      <c r="A64" s="25" t="s">
        <v>903</v>
      </c>
      <c r="B64" s="25" t="s">
        <v>221</v>
      </c>
      <c r="C64" s="25" t="s">
        <v>222</v>
      </c>
      <c r="D64" s="25" t="s">
        <v>223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819</f>
        <v>819</v>
      </c>
      <c r="L64" s="32" t="s">
        <v>904</v>
      </c>
      <c r="M64" s="31">
        <f>880</f>
        <v>880</v>
      </c>
      <c r="N64" s="32" t="s">
        <v>820</v>
      </c>
      <c r="O64" s="31">
        <f>766</f>
        <v>766</v>
      </c>
      <c r="P64" s="32" t="s">
        <v>905</v>
      </c>
      <c r="Q64" s="31">
        <f>838</f>
        <v>838</v>
      </c>
      <c r="R64" s="32" t="s">
        <v>94</v>
      </c>
      <c r="S64" s="33">
        <f>812.78</f>
        <v>812.78</v>
      </c>
      <c r="T64" s="30">
        <f>62767</f>
        <v>62767</v>
      </c>
      <c r="U64" s="30" t="str">
        <f>"－"</f>
        <v>－</v>
      </c>
      <c r="V64" s="30">
        <f>51972049</f>
        <v>51972049</v>
      </c>
      <c r="W64" s="30" t="str">
        <f>"－"</f>
        <v>－</v>
      </c>
      <c r="X64" s="34">
        <f>18</f>
        <v>18</v>
      </c>
    </row>
    <row r="65" spans="1:24" x14ac:dyDescent="0.15">
      <c r="A65" s="25" t="s">
        <v>903</v>
      </c>
      <c r="B65" s="25" t="s">
        <v>224</v>
      </c>
      <c r="C65" s="25" t="s">
        <v>225</v>
      </c>
      <c r="D65" s="25" t="s">
        <v>226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10</v>
      </c>
      <c r="K65" s="31">
        <f>1937.5</f>
        <v>1937.5</v>
      </c>
      <c r="L65" s="32" t="s">
        <v>904</v>
      </c>
      <c r="M65" s="31">
        <f>1991</f>
        <v>1991</v>
      </c>
      <c r="N65" s="32" t="s">
        <v>905</v>
      </c>
      <c r="O65" s="31">
        <f>1868</f>
        <v>1868</v>
      </c>
      <c r="P65" s="32" t="s">
        <v>820</v>
      </c>
      <c r="Q65" s="31">
        <f>1910.5</f>
        <v>1910.5</v>
      </c>
      <c r="R65" s="32" t="s">
        <v>94</v>
      </c>
      <c r="S65" s="33">
        <f>1940.92</f>
        <v>1940.92</v>
      </c>
      <c r="T65" s="30">
        <f>324560</f>
        <v>324560</v>
      </c>
      <c r="U65" s="30" t="str">
        <f>"－"</f>
        <v>－</v>
      </c>
      <c r="V65" s="30">
        <f>624577515</f>
        <v>624577515</v>
      </c>
      <c r="W65" s="30" t="str">
        <f>"－"</f>
        <v>－</v>
      </c>
      <c r="X65" s="34">
        <f>18</f>
        <v>18</v>
      </c>
    </row>
    <row r="66" spans="1:24" x14ac:dyDescent="0.15">
      <c r="A66" s="25" t="s">
        <v>903</v>
      </c>
      <c r="B66" s="25" t="s">
        <v>227</v>
      </c>
      <c r="C66" s="25" t="s">
        <v>228</v>
      </c>
      <c r="D66" s="25" t="s">
        <v>229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17195</f>
        <v>17195</v>
      </c>
      <c r="L66" s="32" t="s">
        <v>904</v>
      </c>
      <c r="M66" s="31">
        <f>17800</f>
        <v>17800</v>
      </c>
      <c r="N66" s="32" t="s">
        <v>905</v>
      </c>
      <c r="O66" s="31">
        <f>16780</f>
        <v>16780</v>
      </c>
      <c r="P66" s="32" t="s">
        <v>820</v>
      </c>
      <c r="Q66" s="31">
        <f>17055</f>
        <v>17055</v>
      </c>
      <c r="R66" s="32" t="s">
        <v>94</v>
      </c>
      <c r="S66" s="33">
        <f>17386.94</f>
        <v>17386.939999999999</v>
      </c>
      <c r="T66" s="30">
        <f>38514</f>
        <v>38514</v>
      </c>
      <c r="U66" s="30">
        <f>30000</f>
        <v>30000</v>
      </c>
      <c r="V66" s="30">
        <f>658852170</f>
        <v>658852170</v>
      </c>
      <c r="W66" s="30">
        <f>510540000</f>
        <v>510540000</v>
      </c>
      <c r="X66" s="34">
        <f>18</f>
        <v>18</v>
      </c>
    </row>
    <row r="67" spans="1:24" x14ac:dyDescent="0.15">
      <c r="A67" s="25" t="s">
        <v>903</v>
      </c>
      <c r="B67" s="25" t="s">
        <v>230</v>
      </c>
      <c r="C67" s="25" t="s">
        <v>231</v>
      </c>
      <c r="D67" s="25" t="s">
        <v>232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1967</f>
        <v>1967</v>
      </c>
      <c r="L67" s="32" t="s">
        <v>904</v>
      </c>
      <c r="M67" s="31">
        <f>2006</f>
        <v>2006</v>
      </c>
      <c r="N67" s="32" t="s">
        <v>905</v>
      </c>
      <c r="O67" s="31">
        <f>1878</f>
        <v>1878</v>
      </c>
      <c r="P67" s="32" t="s">
        <v>820</v>
      </c>
      <c r="Q67" s="31">
        <f>1923</f>
        <v>1923</v>
      </c>
      <c r="R67" s="32" t="s">
        <v>94</v>
      </c>
      <c r="S67" s="33">
        <f>1957.44</f>
        <v>1957.44</v>
      </c>
      <c r="T67" s="30">
        <f>14791823</f>
        <v>14791823</v>
      </c>
      <c r="U67" s="30">
        <f>4807627</f>
        <v>4807627</v>
      </c>
      <c r="V67" s="30">
        <f>29024104090</f>
        <v>29024104090</v>
      </c>
      <c r="W67" s="30">
        <f>9427428277</f>
        <v>9427428277</v>
      </c>
      <c r="X67" s="34">
        <f>18</f>
        <v>18</v>
      </c>
    </row>
    <row r="68" spans="1:24" x14ac:dyDescent="0.15">
      <c r="A68" s="25" t="s">
        <v>903</v>
      </c>
      <c r="B68" s="25" t="s">
        <v>233</v>
      </c>
      <c r="C68" s="25" t="s">
        <v>234</v>
      </c>
      <c r="D68" s="25" t="s">
        <v>235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2033</f>
        <v>2033</v>
      </c>
      <c r="L68" s="32" t="s">
        <v>904</v>
      </c>
      <c r="M68" s="31">
        <f>2038</f>
        <v>2038</v>
      </c>
      <c r="N68" s="32" t="s">
        <v>904</v>
      </c>
      <c r="O68" s="31">
        <f>1893</f>
        <v>1893</v>
      </c>
      <c r="P68" s="32" t="s">
        <v>820</v>
      </c>
      <c r="Q68" s="31">
        <f>1939</f>
        <v>1939</v>
      </c>
      <c r="R68" s="32" t="s">
        <v>94</v>
      </c>
      <c r="S68" s="33">
        <f>1956.83</f>
        <v>1956.83</v>
      </c>
      <c r="T68" s="30">
        <f>5228770</f>
        <v>5228770</v>
      </c>
      <c r="U68" s="30">
        <f>200846</f>
        <v>200846</v>
      </c>
      <c r="V68" s="30">
        <f>10215994607</f>
        <v>10215994607</v>
      </c>
      <c r="W68" s="30">
        <f>391167960</f>
        <v>391167960</v>
      </c>
      <c r="X68" s="34">
        <f>18</f>
        <v>18</v>
      </c>
    </row>
    <row r="69" spans="1:24" x14ac:dyDescent="0.15">
      <c r="A69" s="25" t="s">
        <v>903</v>
      </c>
      <c r="B69" s="25" t="s">
        <v>236</v>
      </c>
      <c r="C69" s="25" t="s">
        <v>237</v>
      </c>
      <c r="D69" s="25" t="s">
        <v>238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1820</f>
        <v>1820</v>
      </c>
      <c r="L69" s="32" t="s">
        <v>904</v>
      </c>
      <c r="M69" s="31">
        <f>1858</f>
        <v>1858</v>
      </c>
      <c r="N69" s="32" t="s">
        <v>905</v>
      </c>
      <c r="O69" s="31">
        <f>1765</f>
        <v>1765</v>
      </c>
      <c r="P69" s="32" t="s">
        <v>820</v>
      </c>
      <c r="Q69" s="31">
        <f>1789</f>
        <v>1789</v>
      </c>
      <c r="R69" s="32" t="s">
        <v>94</v>
      </c>
      <c r="S69" s="33">
        <f>1825.83</f>
        <v>1825.83</v>
      </c>
      <c r="T69" s="30">
        <f>16856</f>
        <v>16856</v>
      </c>
      <c r="U69" s="30">
        <f>5</f>
        <v>5</v>
      </c>
      <c r="V69" s="30">
        <f>30398009</f>
        <v>30398009</v>
      </c>
      <c r="W69" s="30">
        <f>9068</f>
        <v>9068</v>
      </c>
      <c r="X69" s="34">
        <f>18</f>
        <v>18</v>
      </c>
    </row>
    <row r="70" spans="1:24" x14ac:dyDescent="0.15">
      <c r="A70" s="25" t="s">
        <v>903</v>
      </c>
      <c r="B70" s="25" t="s">
        <v>239</v>
      </c>
      <c r="C70" s="25" t="s">
        <v>240</v>
      </c>
      <c r="D70" s="25" t="s">
        <v>241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2280</f>
        <v>2280</v>
      </c>
      <c r="L70" s="32" t="s">
        <v>904</v>
      </c>
      <c r="M70" s="31">
        <f>2333</f>
        <v>2333</v>
      </c>
      <c r="N70" s="32" t="s">
        <v>906</v>
      </c>
      <c r="O70" s="31">
        <f>2215</f>
        <v>2215</v>
      </c>
      <c r="P70" s="32" t="s">
        <v>94</v>
      </c>
      <c r="Q70" s="31">
        <f>2246</f>
        <v>2246</v>
      </c>
      <c r="R70" s="32" t="s">
        <v>94</v>
      </c>
      <c r="S70" s="33">
        <f>2290.22</f>
        <v>2290.2199999999998</v>
      </c>
      <c r="T70" s="30">
        <f>481637</f>
        <v>481637</v>
      </c>
      <c r="U70" s="30">
        <f>4</f>
        <v>4</v>
      </c>
      <c r="V70" s="30">
        <f>1102996877</f>
        <v>1102996877</v>
      </c>
      <c r="W70" s="30">
        <f>9192</f>
        <v>9192</v>
      </c>
      <c r="X70" s="34">
        <f>18</f>
        <v>18</v>
      </c>
    </row>
    <row r="71" spans="1:24" x14ac:dyDescent="0.15">
      <c r="A71" s="25" t="s">
        <v>903</v>
      </c>
      <c r="B71" s="25" t="s">
        <v>242</v>
      </c>
      <c r="C71" s="25" t="s">
        <v>243</v>
      </c>
      <c r="D71" s="25" t="s">
        <v>244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23970</f>
        <v>23970</v>
      </c>
      <c r="L71" s="32" t="s">
        <v>904</v>
      </c>
      <c r="M71" s="31">
        <f>24290</f>
        <v>24290</v>
      </c>
      <c r="N71" s="32" t="s">
        <v>909</v>
      </c>
      <c r="O71" s="31">
        <f>22820</f>
        <v>22820</v>
      </c>
      <c r="P71" s="32" t="s">
        <v>820</v>
      </c>
      <c r="Q71" s="31">
        <f>23120</f>
        <v>23120</v>
      </c>
      <c r="R71" s="32" t="s">
        <v>94</v>
      </c>
      <c r="S71" s="33">
        <f>23545.71</f>
        <v>23545.71</v>
      </c>
      <c r="T71" s="30">
        <f>35</f>
        <v>35</v>
      </c>
      <c r="U71" s="30" t="str">
        <f>"－"</f>
        <v>－</v>
      </c>
      <c r="V71" s="30">
        <f>830695</f>
        <v>830695</v>
      </c>
      <c r="W71" s="30" t="str">
        <f>"－"</f>
        <v>－</v>
      </c>
      <c r="X71" s="34">
        <f>7</f>
        <v>7</v>
      </c>
    </row>
    <row r="72" spans="1:24" x14ac:dyDescent="0.15">
      <c r="A72" s="25" t="s">
        <v>903</v>
      </c>
      <c r="B72" s="25" t="s">
        <v>245</v>
      </c>
      <c r="C72" s="25" t="s">
        <v>246</v>
      </c>
      <c r="D72" s="25" t="s">
        <v>247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19300</f>
        <v>19300</v>
      </c>
      <c r="L72" s="32" t="s">
        <v>904</v>
      </c>
      <c r="M72" s="31">
        <f>19575</f>
        <v>19575</v>
      </c>
      <c r="N72" s="32" t="s">
        <v>906</v>
      </c>
      <c r="O72" s="31">
        <f>18580</f>
        <v>18580</v>
      </c>
      <c r="P72" s="32" t="s">
        <v>908</v>
      </c>
      <c r="Q72" s="31">
        <f>18580</f>
        <v>18580</v>
      </c>
      <c r="R72" s="32" t="s">
        <v>908</v>
      </c>
      <c r="S72" s="33">
        <f>19235.56</f>
        <v>19235.560000000001</v>
      </c>
      <c r="T72" s="30">
        <f>29</f>
        <v>29</v>
      </c>
      <c r="U72" s="30" t="str">
        <f>"－"</f>
        <v>－</v>
      </c>
      <c r="V72" s="30">
        <f>557505</f>
        <v>557505</v>
      </c>
      <c r="W72" s="30" t="str">
        <f>"－"</f>
        <v>－</v>
      </c>
      <c r="X72" s="34">
        <f>9</f>
        <v>9</v>
      </c>
    </row>
    <row r="73" spans="1:24" x14ac:dyDescent="0.15">
      <c r="A73" s="25" t="s">
        <v>903</v>
      </c>
      <c r="B73" s="25" t="s">
        <v>248</v>
      </c>
      <c r="C73" s="25" t="s">
        <v>249</v>
      </c>
      <c r="D73" s="25" t="s">
        <v>250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1945</f>
        <v>1945</v>
      </c>
      <c r="L73" s="32" t="s">
        <v>909</v>
      </c>
      <c r="M73" s="31">
        <f>1983</f>
        <v>1983</v>
      </c>
      <c r="N73" s="32" t="s">
        <v>905</v>
      </c>
      <c r="O73" s="31">
        <f>1876</f>
        <v>1876</v>
      </c>
      <c r="P73" s="32" t="s">
        <v>820</v>
      </c>
      <c r="Q73" s="31">
        <f>1911</f>
        <v>1911</v>
      </c>
      <c r="R73" s="32" t="s">
        <v>94</v>
      </c>
      <c r="S73" s="33">
        <f>1934</f>
        <v>1934</v>
      </c>
      <c r="T73" s="30">
        <f>829</f>
        <v>829</v>
      </c>
      <c r="U73" s="30" t="str">
        <f>"－"</f>
        <v>－</v>
      </c>
      <c r="V73" s="30">
        <f>1593311</f>
        <v>1593311</v>
      </c>
      <c r="W73" s="30" t="str">
        <f>"－"</f>
        <v>－</v>
      </c>
      <c r="X73" s="34">
        <f>13</f>
        <v>13</v>
      </c>
    </row>
    <row r="74" spans="1:24" x14ac:dyDescent="0.15">
      <c r="A74" s="25" t="s">
        <v>903</v>
      </c>
      <c r="B74" s="25" t="s">
        <v>251</v>
      </c>
      <c r="C74" s="25" t="s">
        <v>252</v>
      </c>
      <c r="D74" s="25" t="s">
        <v>253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2282</f>
        <v>2282</v>
      </c>
      <c r="L74" s="32" t="s">
        <v>904</v>
      </c>
      <c r="M74" s="31">
        <f>2287</f>
        <v>2287</v>
      </c>
      <c r="N74" s="32" t="s">
        <v>907</v>
      </c>
      <c r="O74" s="31">
        <f>2232</f>
        <v>2232</v>
      </c>
      <c r="P74" s="32" t="s">
        <v>906</v>
      </c>
      <c r="Q74" s="31">
        <f>2262</f>
        <v>2262</v>
      </c>
      <c r="R74" s="32" t="s">
        <v>94</v>
      </c>
      <c r="S74" s="33">
        <f>2257.89</f>
        <v>2257.89</v>
      </c>
      <c r="T74" s="30">
        <f>3611121</f>
        <v>3611121</v>
      </c>
      <c r="U74" s="30">
        <f>664074</f>
        <v>664074</v>
      </c>
      <c r="V74" s="30">
        <f>8153386046</f>
        <v>8153386046</v>
      </c>
      <c r="W74" s="30">
        <f>1489108801</f>
        <v>1489108801</v>
      </c>
      <c r="X74" s="34">
        <f>18</f>
        <v>18</v>
      </c>
    </row>
    <row r="75" spans="1:24" x14ac:dyDescent="0.15">
      <c r="A75" s="25" t="s">
        <v>903</v>
      </c>
      <c r="B75" s="25" t="s">
        <v>254</v>
      </c>
      <c r="C75" s="25" t="s">
        <v>255</v>
      </c>
      <c r="D75" s="25" t="s">
        <v>256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1910</f>
        <v>1910</v>
      </c>
      <c r="L75" s="32" t="s">
        <v>904</v>
      </c>
      <c r="M75" s="31">
        <f>1996</f>
        <v>1996</v>
      </c>
      <c r="N75" s="32" t="s">
        <v>70</v>
      </c>
      <c r="O75" s="31">
        <f>1897</f>
        <v>1897</v>
      </c>
      <c r="P75" s="32" t="s">
        <v>815</v>
      </c>
      <c r="Q75" s="31">
        <f>1898</f>
        <v>1898</v>
      </c>
      <c r="R75" s="32" t="s">
        <v>94</v>
      </c>
      <c r="S75" s="33">
        <f>1942.31</f>
        <v>1942.31</v>
      </c>
      <c r="T75" s="30">
        <f>283</f>
        <v>283</v>
      </c>
      <c r="U75" s="30" t="str">
        <f>"－"</f>
        <v>－</v>
      </c>
      <c r="V75" s="30">
        <f>546679</f>
        <v>546679</v>
      </c>
      <c r="W75" s="30" t="str">
        <f>"－"</f>
        <v>－</v>
      </c>
      <c r="X75" s="34">
        <f>16</f>
        <v>16</v>
      </c>
    </row>
    <row r="76" spans="1:24" x14ac:dyDescent="0.15">
      <c r="A76" s="25" t="s">
        <v>903</v>
      </c>
      <c r="B76" s="25" t="s">
        <v>257</v>
      </c>
      <c r="C76" s="25" t="s">
        <v>258</v>
      </c>
      <c r="D76" s="25" t="s">
        <v>259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1897</f>
        <v>1897</v>
      </c>
      <c r="L76" s="32" t="s">
        <v>904</v>
      </c>
      <c r="M76" s="31">
        <f>1948.5</f>
        <v>1948.5</v>
      </c>
      <c r="N76" s="32" t="s">
        <v>905</v>
      </c>
      <c r="O76" s="31">
        <f>1850</f>
        <v>1850</v>
      </c>
      <c r="P76" s="32" t="s">
        <v>820</v>
      </c>
      <c r="Q76" s="31">
        <f>1879.5</f>
        <v>1879.5</v>
      </c>
      <c r="R76" s="32" t="s">
        <v>94</v>
      </c>
      <c r="S76" s="33">
        <f>1910.11</f>
        <v>1910.11</v>
      </c>
      <c r="T76" s="30">
        <f>11500</f>
        <v>11500</v>
      </c>
      <c r="U76" s="30" t="str">
        <f>"－"</f>
        <v>－</v>
      </c>
      <c r="V76" s="30">
        <f>21932005</f>
        <v>21932005</v>
      </c>
      <c r="W76" s="30" t="str">
        <f>"－"</f>
        <v>－</v>
      </c>
      <c r="X76" s="34">
        <f>18</f>
        <v>18</v>
      </c>
    </row>
    <row r="77" spans="1:24" x14ac:dyDescent="0.15">
      <c r="A77" s="25" t="s">
        <v>903</v>
      </c>
      <c r="B77" s="25" t="s">
        <v>260</v>
      </c>
      <c r="C77" s="25" t="s">
        <v>261</v>
      </c>
      <c r="D77" s="25" t="s">
        <v>262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28405</f>
        <v>28405</v>
      </c>
      <c r="L77" s="32" t="s">
        <v>904</v>
      </c>
      <c r="M77" s="31">
        <f>28405</f>
        <v>28405</v>
      </c>
      <c r="N77" s="32" t="s">
        <v>904</v>
      </c>
      <c r="O77" s="31">
        <f>28000</f>
        <v>28000</v>
      </c>
      <c r="P77" s="32" t="s">
        <v>908</v>
      </c>
      <c r="Q77" s="31">
        <f>28000</f>
        <v>28000</v>
      </c>
      <c r="R77" s="32" t="s">
        <v>908</v>
      </c>
      <c r="S77" s="33">
        <f>28202.5</f>
        <v>28202.5</v>
      </c>
      <c r="T77" s="30">
        <f>14</f>
        <v>14</v>
      </c>
      <c r="U77" s="30" t="str">
        <f>"－"</f>
        <v>－</v>
      </c>
      <c r="V77" s="30">
        <f>394835</f>
        <v>394835</v>
      </c>
      <c r="W77" s="30" t="str">
        <f>"－"</f>
        <v>－</v>
      </c>
      <c r="X77" s="34">
        <f>2</f>
        <v>2</v>
      </c>
    </row>
    <row r="78" spans="1:24" x14ac:dyDescent="0.15">
      <c r="A78" s="25" t="s">
        <v>903</v>
      </c>
      <c r="B78" s="25" t="s">
        <v>263</v>
      </c>
      <c r="C78" s="25" t="s">
        <v>264</v>
      </c>
      <c r="D78" s="25" t="s">
        <v>265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21545</f>
        <v>21545</v>
      </c>
      <c r="L78" s="32" t="s">
        <v>904</v>
      </c>
      <c r="M78" s="31">
        <f>21550</f>
        <v>21550</v>
      </c>
      <c r="N78" s="32" t="s">
        <v>904</v>
      </c>
      <c r="O78" s="31">
        <f>21150</f>
        <v>21150</v>
      </c>
      <c r="P78" s="32" t="s">
        <v>819</v>
      </c>
      <c r="Q78" s="31">
        <f>21425</f>
        <v>21425</v>
      </c>
      <c r="R78" s="32" t="s">
        <v>94</v>
      </c>
      <c r="S78" s="33">
        <f>21334.44</f>
        <v>21334.44</v>
      </c>
      <c r="T78" s="30">
        <f>759706</f>
        <v>759706</v>
      </c>
      <c r="U78" s="30">
        <f>13098</f>
        <v>13098</v>
      </c>
      <c r="V78" s="30">
        <f>16196073340</f>
        <v>16196073340</v>
      </c>
      <c r="W78" s="30">
        <f>279031300</f>
        <v>279031300</v>
      </c>
      <c r="X78" s="34">
        <f>18</f>
        <v>18</v>
      </c>
    </row>
    <row r="79" spans="1:24" x14ac:dyDescent="0.15">
      <c r="A79" s="25" t="s">
        <v>903</v>
      </c>
      <c r="B79" s="25" t="s">
        <v>267</v>
      </c>
      <c r="C79" s="25" t="s">
        <v>268</v>
      </c>
      <c r="D79" s="25" t="s">
        <v>269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17680</f>
        <v>17680</v>
      </c>
      <c r="L79" s="32" t="s">
        <v>904</v>
      </c>
      <c r="M79" s="31">
        <f>17705</f>
        <v>17705</v>
      </c>
      <c r="N79" s="32" t="s">
        <v>907</v>
      </c>
      <c r="O79" s="31">
        <f>17300</f>
        <v>17300</v>
      </c>
      <c r="P79" s="32" t="s">
        <v>906</v>
      </c>
      <c r="Q79" s="31">
        <f>17500</f>
        <v>17500</v>
      </c>
      <c r="R79" s="32" t="s">
        <v>94</v>
      </c>
      <c r="S79" s="33">
        <f>17498.33</f>
        <v>17498.330000000002</v>
      </c>
      <c r="T79" s="30">
        <f>141934</f>
        <v>141934</v>
      </c>
      <c r="U79" s="30">
        <f>53250</f>
        <v>53250</v>
      </c>
      <c r="V79" s="30">
        <f>2472617311</f>
        <v>2472617311</v>
      </c>
      <c r="W79" s="30">
        <f>929507211</f>
        <v>929507211</v>
      </c>
      <c r="X79" s="34">
        <f>18</f>
        <v>18</v>
      </c>
    </row>
    <row r="80" spans="1:24" x14ac:dyDescent="0.15">
      <c r="A80" s="25" t="s">
        <v>903</v>
      </c>
      <c r="B80" s="25" t="s">
        <v>270</v>
      </c>
      <c r="C80" s="25" t="s">
        <v>271</v>
      </c>
      <c r="D80" s="25" t="s">
        <v>272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2037</f>
        <v>2037</v>
      </c>
      <c r="L80" s="32" t="s">
        <v>904</v>
      </c>
      <c r="M80" s="31">
        <f>2038</f>
        <v>2038</v>
      </c>
      <c r="N80" s="32" t="s">
        <v>904</v>
      </c>
      <c r="O80" s="31">
        <f>1905</f>
        <v>1905</v>
      </c>
      <c r="P80" s="32" t="s">
        <v>820</v>
      </c>
      <c r="Q80" s="31">
        <f>1952.5</f>
        <v>1952.5</v>
      </c>
      <c r="R80" s="32" t="s">
        <v>94</v>
      </c>
      <c r="S80" s="33">
        <f>1966.14</f>
        <v>1966.14</v>
      </c>
      <c r="T80" s="30">
        <f>1262130</f>
        <v>1262130</v>
      </c>
      <c r="U80" s="30">
        <f>158120</f>
        <v>158120</v>
      </c>
      <c r="V80" s="30">
        <f>2473447514</f>
        <v>2473447514</v>
      </c>
      <c r="W80" s="30">
        <f>309251259</f>
        <v>309251259</v>
      </c>
      <c r="X80" s="34">
        <f>18</f>
        <v>18</v>
      </c>
    </row>
    <row r="81" spans="1:24" x14ac:dyDescent="0.15">
      <c r="A81" s="25" t="s">
        <v>903</v>
      </c>
      <c r="B81" s="25" t="s">
        <v>273</v>
      </c>
      <c r="C81" s="25" t="s">
        <v>274</v>
      </c>
      <c r="D81" s="25" t="s">
        <v>275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38350</f>
        <v>38350</v>
      </c>
      <c r="L81" s="32" t="s">
        <v>904</v>
      </c>
      <c r="M81" s="31">
        <f>40080</f>
        <v>40080</v>
      </c>
      <c r="N81" s="32" t="s">
        <v>911</v>
      </c>
      <c r="O81" s="31">
        <f>38110</f>
        <v>38110</v>
      </c>
      <c r="P81" s="32" t="s">
        <v>904</v>
      </c>
      <c r="Q81" s="31">
        <f>38630</f>
        <v>38630</v>
      </c>
      <c r="R81" s="32" t="s">
        <v>94</v>
      </c>
      <c r="S81" s="33">
        <f>39199.44</f>
        <v>39199.440000000002</v>
      </c>
      <c r="T81" s="30">
        <f>53557</f>
        <v>53557</v>
      </c>
      <c r="U81" s="30">
        <f>1310</f>
        <v>1310</v>
      </c>
      <c r="V81" s="30">
        <f>2101567660</f>
        <v>2101567660</v>
      </c>
      <c r="W81" s="30">
        <f>51867460</f>
        <v>51867460</v>
      </c>
      <c r="X81" s="34">
        <f>18</f>
        <v>18</v>
      </c>
    </row>
    <row r="82" spans="1:24" x14ac:dyDescent="0.15">
      <c r="A82" s="25" t="s">
        <v>903</v>
      </c>
      <c r="B82" s="25" t="s">
        <v>276</v>
      </c>
      <c r="C82" s="25" t="s">
        <v>277</v>
      </c>
      <c r="D82" s="25" t="s">
        <v>278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7750</f>
        <v>7750</v>
      </c>
      <c r="L82" s="32" t="s">
        <v>819</v>
      </c>
      <c r="M82" s="31">
        <f>7777</f>
        <v>7777</v>
      </c>
      <c r="N82" s="32" t="s">
        <v>814</v>
      </c>
      <c r="O82" s="31">
        <f>7604</f>
        <v>7604</v>
      </c>
      <c r="P82" s="32" t="s">
        <v>820</v>
      </c>
      <c r="Q82" s="31">
        <f>7700</f>
        <v>7700</v>
      </c>
      <c r="R82" s="32" t="s">
        <v>815</v>
      </c>
      <c r="S82" s="33">
        <f>7676.17</f>
        <v>7676.17</v>
      </c>
      <c r="T82" s="30">
        <f>460</f>
        <v>460</v>
      </c>
      <c r="U82" s="30" t="str">
        <f>"－"</f>
        <v>－</v>
      </c>
      <c r="V82" s="30">
        <f>3524700</f>
        <v>3524700</v>
      </c>
      <c r="W82" s="30" t="str">
        <f>"－"</f>
        <v>－</v>
      </c>
      <c r="X82" s="34">
        <f>6</f>
        <v>6</v>
      </c>
    </row>
    <row r="83" spans="1:24" x14ac:dyDescent="0.15">
      <c r="A83" s="25" t="s">
        <v>903</v>
      </c>
      <c r="B83" s="25" t="s">
        <v>279</v>
      </c>
      <c r="C83" s="25" t="s">
        <v>280</v>
      </c>
      <c r="D83" s="25" t="s">
        <v>281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15500</f>
        <v>15500</v>
      </c>
      <c r="L83" s="32" t="s">
        <v>904</v>
      </c>
      <c r="M83" s="31">
        <f>15690</f>
        <v>15690</v>
      </c>
      <c r="N83" s="32" t="s">
        <v>907</v>
      </c>
      <c r="O83" s="31">
        <f>15000</f>
        <v>15000</v>
      </c>
      <c r="P83" s="32" t="s">
        <v>820</v>
      </c>
      <c r="Q83" s="31">
        <f>15320</f>
        <v>15320</v>
      </c>
      <c r="R83" s="32" t="s">
        <v>94</v>
      </c>
      <c r="S83" s="33">
        <f>15378.89</f>
        <v>15378.89</v>
      </c>
      <c r="T83" s="30">
        <f>408</f>
        <v>408</v>
      </c>
      <c r="U83" s="30" t="str">
        <f>"－"</f>
        <v>－</v>
      </c>
      <c r="V83" s="30">
        <f>6259455</f>
        <v>6259455</v>
      </c>
      <c r="W83" s="30" t="str">
        <f>"－"</f>
        <v>－</v>
      </c>
      <c r="X83" s="34">
        <f>18</f>
        <v>18</v>
      </c>
    </row>
    <row r="84" spans="1:24" x14ac:dyDescent="0.15">
      <c r="A84" s="25" t="s">
        <v>903</v>
      </c>
      <c r="B84" s="25" t="s">
        <v>282</v>
      </c>
      <c r="C84" s="25" t="s">
        <v>283</v>
      </c>
      <c r="D84" s="25" t="s">
        <v>284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15315</f>
        <v>15315</v>
      </c>
      <c r="L84" s="32" t="s">
        <v>904</v>
      </c>
      <c r="M84" s="31">
        <f>15670</f>
        <v>15670</v>
      </c>
      <c r="N84" s="32" t="s">
        <v>905</v>
      </c>
      <c r="O84" s="31">
        <f>14680</f>
        <v>14680</v>
      </c>
      <c r="P84" s="32" t="s">
        <v>820</v>
      </c>
      <c r="Q84" s="31">
        <f>15220</f>
        <v>15220</v>
      </c>
      <c r="R84" s="32" t="s">
        <v>94</v>
      </c>
      <c r="S84" s="33">
        <f>15271.39</f>
        <v>15271.39</v>
      </c>
      <c r="T84" s="30">
        <f>902</f>
        <v>902</v>
      </c>
      <c r="U84" s="30" t="str">
        <f>"－"</f>
        <v>－</v>
      </c>
      <c r="V84" s="30">
        <f>13689750</f>
        <v>13689750</v>
      </c>
      <c r="W84" s="30" t="str">
        <f>"－"</f>
        <v>－</v>
      </c>
      <c r="X84" s="34">
        <f>18</f>
        <v>18</v>
      </c>
    </row>
    <row r="85" spans="1:24" x14ac:dyDescent="0.15">
      <c r="A85" s="25" t="s">
        <v>903</v>
      </c>
      <c r="B85" s="25" t="s">
        <v>285</v>
      </c>
      <c r="C85" s="25" t="s">
        <v>286</v>
      </c>
      <c r="D85" s="25" t="s">
        <v>287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19370</f>
        <v>19370</v>
      </c>
      <c r="L85" s="32" t="s">
        <v>904</v>
      </c>
      <c r="M85" s="31">
        <f>20235</f>
        <v>20235</v>
      </c>
      <c r="N85" s="32" t="s">
        <v>906</v>
      </c>
      <c r="O85" s="31">
        <f>19195</f>
        <v>19195</v>
      </c>
      <c r="P85" s="32" t="s">
        <v>904</v>
      </c>
      <c r="Q85" s="31">
        <f>19640</f>
        <v>19640</v>
      </c>
      <c r="R85" s="32" t="s">
        <v>94</v>
      </c>
      <c r="S85" s="33">
        <f>19818.33</f>
        <v>19818.330000000002</v>
      </c>
      <c r="T85" s="30">
        <f>4834</f>
        <v>4834</v>
      </c>
      <c r="U85" s="30" t="str">
        <f>"－"</f>
        <v>－</v>
      </c>
      <c r="V85" s="30">
        <f>95831920</f>
        <v>95831920</v>
      </c>
      <c r="W85" s="30" t="str">
        <f>"－"</f>
        <v>－</v>
      </c>
      <c r="X85" s="34">
        <f>18</f>
        <v>18</v>
      </c>
    </row>
    <row r="86" spans="1:24" x14ac:dyDescent="0.15">
      <c r="A86" s="25" t="s">
        <v>903</v>
      </c>
      <c r="B86" s="25" t="s">
        <v>288</v>
      </c>
      <c r="C86" s="25" t="s">
        <v>289</v>
      </c>
      <c r="D86" s="25" t="s">
        <v>290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10015</f>
        <v>10015</v>
      </c>
      <c r="L86" s="32" t="s">
        <v>904</v>
      </c>
      <c r="M86" s="31">
        <f>10345</f>
        <v>10345</v>
      </c>
      <c r="N86" s="32" t="s">
        <v>905</v>
      </c>
      <c r="O86" s="31">
        <f>10000</f>
        <v>10000</v>
      </c>
      <c r="P86" s="32" t="s">
        <v>904</v>
      </c>
      <c r="Q86" s="31">
        <f>10210</f>
        <v>10210</v>
      </c>
      <c r="R86" s="32" t="s">
        <v>94</v>
      </c>
      <c r="S86" s="33">
        <f>10200</f>
        <v>10200</v>
      </c>
      <c r="T86" s="30">
        <f>6070</f>
        <v>6070</v>
      </c>
      <c r="U86" s="30" t="str">
        <f>"－"</f>
        <v>－</v>
      </c>
      <c r="V86" s="30">
        <f>61579500</f>
        <v>61579500</v>
      </c>
      <c r="W86" s="30" t="str">
        <f>"－"</f>
        <v>－</v>
      </c>
      <c r="X86" s="34">
        <f>18</f>
        <v>18</v>
      </c>
    </row>
    <row r="87" spans="1:24" x14ac:dyDescent="0.15">
      <c r="A87" s="25" t="s">
        <v>903</v>
      </c>
      <c r="B87" s="25" t="s">
        <v>291</v>
      </c>
      <c r="C87" s="25" t="s">
        <v>292</v>
      </c>
      <c r="D87" s="25" t="s">
        <v>293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2477</f>
        <v>2477</v>
      </c>
      <c r="L87" s="32" t="s">
        <v>904</v>
      </c>
      <c r="M87" s="31">
        <f>2485</f>
        <v>2485</v>
      </c>
      <c r="N87" s="32" t="s">
        <v>907</v>
      </c>
      <c r="O87" s="31">
        <f>2367</f>
        <v>2367</v>
      </c>
      <c r="P87" s="32" t="s">
        <v>820</v>
      </c>
      <c r="Q87" s="31">
        <f>2393</f>
        <v>2393</v>
      </c>
      <c r="R87" s="32" t="s">
        <v>94</v>
      </c>
      <c r="S87" s="33">
        <f>2415.11</f>
        <v>2415.11</v>
      </c>
      <c r="T87" s="30">
        <f>135355</f>
        <v>135355</v>
      </c>
      <c r="U87" s="30">
        <f>2056</f>
        <v>2056</v>
      </c>
      <c r="V87" s="30">
        <f>325982193</f>
        <v>325982193</v>
      </c>
      <c r="W87" s="30">
        <f>4999079</f>
        <v>4999079</v>
      </c>
      <c r="X87" s="34">
        <f>18</f>
        <v>18</v>
      </c>
    </row>
    <row r="88" spans="1:24" x14ac:dyDescent="0.15">
      <c r="A88" s="25" t="s">
        <v>903</v>
      </c>
      <c r="B88" s="25" t="s">
        <v>294</v>
      </c>
      <c r="C88" s="25" t="s">
        <v>295</v>
      </c>
      <c r="D88" s="25" t="s">
        <v>296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2276</f>
        <v>2276</v>
      </c>
      <c r="L88" s="32" t="s">
        <v>904</v>
      </c>
      <c r="M88" s="31">
        <f>2294</f>
        <v>2294</v>
      </c>
      <c r="N88" s="32" t="s">
        <v>909</v>
      </c>
      <c r="O88" s="31">
        <f>2219</f>
        <v>2219</v>
      </c>
      <c r="P88" s="32" t="s">
        <v>820</v>
      </c>
      <c r="Q88" s="31">
        <f>2244</f>
        <v>2244</v>
      </c>
      <c r="R88" s="32" t="s">
        <v>94</v>
      </c>
      <c r="S88" s="33">
        <f>2251.44</f>
        <v>2251.44</v>
      </c>
      <c r="T88" s="30">
        <f>166001</f>
        <v>166001</v>
      </c>
      <c r="U88" s="30">
        <f>4</f>
        <v>4</v>
      </c>
      <c r="V88" s="30">
        <f>372550375</f>
        <v>372550375</v>
      </c>
      <c r="W88" s="30">
        <f>8780</f>
        <v>8780</v>
      </c>
      <c r="X88" s="34">
        <f>18</f>
        <v>18</v>
      </c>
    </row>
    <row r="89" spans="1:24" x14ac:dyDescent="0.15">
      <c r="A89" s="25" t="s">
        <v>903</v>
      </c>
      <c r="B89" s="25" t="s">
        <v>297</v>
      </c>
      <c r="C89" s="25" t="s">
        <v>298</v>
      </c>
      <c r="D89" s="25" t="s">
        <v>299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14575</f>
        <v>14575</v>
      </c>
      <c r="L89" s="32" t="s">
        <v>904</v>
      </c>
      <c r="M89" s="31">
        <f>14995</f>
        <v>14995</v>
      </c>
      <c r="N89" s="32" t="s">
        <v>905</v>
      </c>
      <c r="O89" s="31">
        <f>13980</f>
        <v>13980</v>
      </c>
      <c r="P89" s="32" t="s">
        <v>820</v>
      </c>
      <c r="Q89" s="31">
        <f>14210</f>
        <v>14210</v>
      </c>
      <c r="R89" s="32" t="s">
        <v>94</v>
      </c>
      <c r="S89" s="33">
        <f>14580.28</f>
        <v>14580.28</v>
      </c>
      <c r="T89" s="30">
        <f>11255</f>
        <v>11255</v>
      </c>
      <c r="U89" s="30">
        <f>1</f>
        <v>1</v>
      </c>
      <c r="V89" s="30">
        <f>162672770</f>
        <v>162672770</v>
      </c>
      <c r="W89" s="30">
        <f>14430</f>
        <v>14430</v>
      </c>
      <c r="X89" s="34">
        <f>18</f>
        <v>18</v>
      </c>
    </row>
    <row r="90" spans="1:24" x14ac:dyDescent="0.15">
      <c r="A90" s="25" t="s">
        <v>903</v>
      </c>
      <c r="B90" s="25" t="s">
        <v>300</v>
      </c>
      <c r="C90" s="25" t="s">
        <v>301</v>
      </c>
      <c r="D90" s="25" t="s">
        <v>302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8617</f>
        <v>8617</v>
      </c>
      <c r="L90" s="32" t="s">
        <v>904</v>
      </c>
      <c r="M90" s="31">
        <f>8855</f>
        <v>8855</v>
      </c>
      <c r="N90" s="32" t="s">
        <v>811</v>
      </c>
      <c r="O90" s="31">
        <f>8514</f>
        <v>8514</v>
      </c>
      <c r="P90" s="32" t="s">
        <v>904</v>
      </c>
      <c r="Q90" s="31">
        <f>8846</f>
        <v>8846</v>
      </c>
      <c r="R90" s="32" t="s">
        <v>94</v>
      </c>
      <c r="S90" s="33">
        <f>8731.61</f>
        <v>8731.61</v>
      </c>
      <c r="T90" s="30">
        <f>1158</f>
        <v>1158</v>
      </c>
      <c r="U90" s="30" t="str">
        <f>"－"</f>
        <v>－</v>
      </c>
      <c r="V90" s="30">
        <f>10092541</f>
        <v>10092541</v>
      </c>
      <c r="W90" s="30" t="str">
        <f>"－"</f>
        <v>－</v>
      </c>
      <c r="X90" s="34">
        <f>18</f>
        <v>18</v>
      </c>
    </row>
    <row r="91" spans="1:24" x14ac:dyDescent="0.15">
      <c r="A91" s="25" t="s">
        <v>903</v>
      </c>
      <c r="B91" s="25" t="s">
        <v>303</v>
      </c>
      <c r="C91" s="25" t="s">
        <v>304</v>
      </c>
      <c r="D91" s="25" t="s">
        <v>305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6349</f>
        <v>6349</v>
      </c>
      <c r="L91" s="32" t="s">
        <v>904</v>
      </c>
      <c r="M91" s="31">
        <f>6815</f>
        <v>6815</v>
      </c>
      <c r="N91" s="32" t="s">
        <v>820</v>
      </c>
      <c r="O91" s="31">
        <f>6331</f>
        <v>6331</v>
      </c>
      <c r="P91" s="32" t="s">
        <v>909</v>
      </c>
      <c r="Q91" s="31">
        <f>6733</f>
        <v>6733</v>
      </c>
      <c r="R91" s="32" t="s">
        <v>94</v>
      </c>
      <c r="S91" s="33">
        <f>6553.83</f>
        <v>6553.83</v>
      </c>
      <c r="T91" s="30">
        <f>2366741</f>
        <v>2366741</v>
      </c>
      <c r="U91" s="30">
        <f>30838</f>
        <v>30838</v>
      </c>
      <c r="V91" s="30">
        <f>15698835222</f>
        <v>15698835222</v>
      </c>
      <c r="W91" s="30">
        <f>203018891</f>
        <v>203018891</v>
      </c>
      <c r="X91" s="34">
        <f>18</f>
        <v>18</v>
      </c>
    </row>
    <row r="92" spans="1:24" x14ac:dyDescent="0.15">
      <c r="A92" s="25" t="s">
        <v>903</v>
      </c>
      <c r="B92" s="25" t="s">
        <v>306</v>
      </c>
      <c r="C92" s="25" t="s">
        <v>307</v>
      </c>
      <c r="D92" s="25" t="s">
        <v>308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3525</f>
        <v>3525</v>
      </c>
      <c r="L92" s="32" t="s">
        <v>904</v>
      </c>
      <c r="M92" s="31">
        <f>3800</f>
        <v>3800</v>
      </c>
      <c r="N92" s="32" t="s">
        <v>820</v>
      </c>
      <c r="O92" s="31">
        <f>3520</f>
        <v>3520</v>
      </c>
      <c r="P92" s="32" t="s">
        <v>912</v>
      </c>
      <c r="Q92" s="31">
        <f>3655</f>
        <v>3655</v>
      </c>
      <c r="R92" s="32" t="s">
        <v>94</v>
      </c>
      <c r="S92" s="33">
        <f>3616.67</f>
        <v>3616.67</v>
      </c>
      <c r="T92" s="30">
        <f>512218</f>
        <v>512218</v>
      </c>
      <c r="U92" s="30" t="str">
        <f>"－"</f>
        <v>－</v>
      </c>
      <c r="V92" s="30">
        <f>1877848270</f>
        <v>1877848270</v>
      </c>
      <c r="W92" s="30" t="str">
        <f>"－"</f>
        <v>－</v>
      </c>
      <c r="X92" s="34">
        <f>18</f>
        <v>18</v>
      </c>
    </row>
    <row r="93" spans="1:24" x14ac:dyDescent="0.15">
      <c r="A93" s="25" t="s">
        <v>903</v>
      </c>
      <c r="B93" s="25" t="s">
        <v>309</v>
      </c>
      <c r="C93" s="25" t="s">
        <v>310</v>
      </c>
      <c r="D93" s="25" t="s">
        <v>311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7759</f>
        <v>7759</v>
      </c>
      <c r="L93" s="32" t="s">
        <v>904</v>
      </c>
      <c r="M93" s="31">
        <f>8691</f>
        <v>8691</v>
      </c>
      <c r="N93" s="32" t="s">
        <v>820</v>
      </c>
      <c r="O93" s="31">
        <f>7715</f>
        <v>7715</v>
      </c>
      <c r="P93" s="32" t="s">
        <v>904</v>
      </c>
      <c r="Q93" s="31">
        <f>8449</f>
        <v>8449</v>
      </c>
      <c r="R93" s="32" t="s">
        <v>94</v>
      </c>
      <c r="S93" s="33">
        <f>8125.28</f>
        <v>8125.28</v>
      </c>
      <c r="T93" s="30">
        <f>240687</f>
        <v>240687</v>
      </c>
      <c r="U93" s="30" t="str">
        <f>"－"</f>
        <v>－</v>
      </c>
      <c r="V93" s="30">
        <f>1981077420</f>
        <v>1981077420</v>
      </c>
      <c r="W93" s="30" t="str">
        <f>"－"</f>
        <v>－</v>
      </c>
      <c r="X93" s="34">
        <f>18</f>
        <v>18</v>
      </c>
    </row>
    <row r="94" spans="1:24" x14ac:dyDescent="0.15">
      <c r="A94" s="25" t="s">
        <v>903</v>
      </c>
      <c r="B94" s="25" t="s">
        <v>312</v>
      </c>
      <c r="C94" s="25" t="s">
        <v>313</v>
      </c>
      <c r="D94" s="25" t="s">
        <v>314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77260</f>
        <v>77260</v>
      </c>
      <c r="L94" s="32" t="s">
        <v>904</v>
      </c>
      <c r="M94" s="31">
        <f>86300</f>
        <v>86300</v>
      </c>
      <c r="N94" s="32" t="s">
        <v>820</v>
      </c>
      <c r="O94" s="31">
        <f>73820</f>
        <v>73820</v>
      </c>
      <c r="P94" s="32" t="s">
        <v>911</v>
      </c>
      <c r="Q94" s="31">
        <f>84950</f>
        <v>84950</v>
      </c>
      <c r="R94" s="32" t="s">
        <v>94</v>
      </c>
      <c r="S94" s="33">
        <f>78703.33</f>
        <v>78703.33</v>
      </c>
      <c r="T94" s="30">
        <f>12178</f>
        <v>12178</v>
      </c>
      <c r="U94" s="30">
        <f>13</f>
        <v>13</v>
      </c>
      <c r="V94" s="30">
        <f>978392200</f>
        <v>978392200</v>
      </c>
      <c r="W94" s="30">
        <f>1010040</f>
        <v>1010040</v>
      </c>
      <c r="X94" s="34">
        <f>18</f>
        <v>18</v>
      </c>
    </row>
    <row r="95" spans="1:24" x14ac:dyDescent="0.15">
      <c r="A95" s="25" t="s">
        <v>903</v>
      </c>
      <c r="B95" s="25" t="s">
        <v>315</v>
      </c>
      <c r="C95" s="25" t="s">
        <v>316</v>
      </c>
      <c r="D95" s="25" t="s">
        <v>317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17375</f>
        <v>17375</v>
      </c>
      <c r="L95" s="32" t="s">
        <v>904</v>
      </c>
      <c r="M95" s="31">
        <f>17670</f>
        <v>17670</v>
      </c>
      <c r="N95" s="32" t="s">
        <v>909</v>
      </c>
      <c r="O95" s="31">
        <f>15230</f>
        <v>15230</v>
      </c>
      <c r="P95" s="32" t="s">
        <v>820</v>
      </c>
      <c r="Q95" s="31">
        <f>16255</f>
        <v>16255</v>
      </c>
      <c r="R95" s="32" t="s">
        <v>94</v>
      </c>
      <c r="S95" s="33">
        <f>16814.44</f>
        <v>16814.439999999999</v>
      </c>
      <c r="T95" s="30">
        <f>2696295</f>
        <v>2696295</v>
      </c>
      <c r="U95" s="30">
        <f>1158</f>
        <v>1158</v>
      </c>
      <c r="V95" s="30">
        <f>44891395420</f>
        <v>44891395420</v>
      </c>
      <c r="W95" s="30">
        <f>19188460</f>
        <v>19188460</v>
      </c>
      <c r="X95" s="34">
        <f>18</f>
        <v>18</v>
      </c>
    </row>
    <row r="96" spans="1:24" x14ac:dyDescent="0.15">
      <c r="A96" s="25" t="s">
        <v>903</v>
      </c>
      <c r="B96" s="25" t="s">
        <v>318</v>
      </c>
      <c r="C96" s="25" t="s">
        <v>319</v>
      </c>
      <c r="D96" s="25" t="s">
        <v>320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</v>
      </c>
      <c r="K96" s="31">
        <f>39480</f>
        <v>39480</v>
      </c>
      <c r="L96" s="32" t="s">
        <v>904</v>
      </c>
      <c r="M96" s="31">
        <f>40500</f>
        <v>40500</v>
      </c>
      <c r="N96" s="32" t="s">
        <v>905</v>
      </c>
      <c r="O96" s="31">
        <f>36270</f>
        <v>36270</v>
      </c>
      <c r="P96" s="32" t="s">
        <v>820</v>
      </c>
      <c r="Q96" s="31">
        <f>37920</f>
        <v>37920</v>
      </c>
      <c r="R96" s="32" t="s">
        <v>94</v>
      </c>
      <c r="S96" s="33">
        <f>39038.33</f>
        <v>39038.33</v>
      </c>
      <c r="T96" s="30">
        <f>255874</f>
        <v>255874</v>
      </c>
      <c r="U96" s="30">
        <f>25012</f>
        <v>25012</v>
      </c>
      <c r="V96" s="30">
        <f>9924933350</f>
        <v>9924933350</v>
      </c>
      <c r="W96" s="30">
        <f>986449220</f>
        <v>986449220</v>
      </c>
      <c r="X96" s="34">
        <f>18</f>
        <v>18</v>
      </c>
    </row>
    <row r="97" spans="1:24" x14ac:dyDescent="0.15">
      <c r="A97" s="25" t="s">
        <v>903</v>
      </c>
      <c r="B97" s="25" t="s">
        <v>321</v>
      </c>
      <c r="C97" s="25" t="s">
        <v>322</v>
      </c>
      <c r="D97" s="25" t="s">
        <v>323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5620</f>
        <v>5620</v>
      </c>
      <c r="L97" s="32" t="s">
        <v>904</v>
      </c>
      <c r="M97" s="31">
        <f>5749</f>
        <v>5749</v>
      </c>
      <c r="N97" s="32" t="s">
        <v>905</v>
      </c>
      <c r="O97" s="31">
        <f>5128</f>
        <v>5128</v>
      </c>
      <c r="P97" s="32" t="s">
        <v>820</v>
      </c>
      <c r="Q97" s="31">
        <f>5382</f>
        <v>5382</v>
      </c>
      <c r="R97" s="32" t="s">
        <v>94</v>
      </c>
      <c r="S97" s="33">
        <f>5533.78</f>
        <v>5533.78</v>
      </c>
      <c r="T97" s="30">
        <f>2540420</f>
        <v>2540420</v>
      </c>
      <c r="U97" s="30">
        <f>433520</f>
        <v>433520</v>
      </c>
      <c r="V97" s="30">
        <f>13812815288</f>
        <v>13812815288</v>
      </c>
      <c r="W97" s="30">
        <f>2328459638</f>
        <v>2328459638</v>
      </c>
      <c r="X97" s="34">
        <f>18</f>
        <v>18</v>
      </c>
    </row>
    <row r="98" spans="1:24" x14ac:dyDescent="0.15">
      <c r="A98" s="25" t="s">
        <v>903</v>
      </c>
      <c r="B98" s="25" t="s">
        <v>324</v>
      </c>
      <c r="C98" s="25" t="s">
        <v>325</v>
      </c>
      <c r="D98" s="25" t="s">
        <v>326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3640</f>
        <v>3640</v>
      </c>
      <c r="L98" s="32" t="s">
        <v>904</v>
      </c>
      <c r="M98" s="31">
        <f>3744</f>
        <v>3744</v>
      </c>
      <c r="N98" s="32" t="s">
        <v>905</v>
      </c>
      <c r="O98" s="31">
        <f>3343</f>
        <v>3343</v>
      </c>
      <c r="P98" s="32" t="s">
        <v>820</v>
      </c>
      <c r="Q98" s="31">
        <f>3489</f>
        <v>3489</v>
      </c>
      <c r="R98" s="32" t="s">
        <v>94</v>
      </c>
      <c r="S98" s="33">
        <f>3592.06</f>
        <v>3592.06</v>
      </c>
      <c r="T98" s="30">
        <f>101270</f>
        <v>101270</v>
      </c>
      <c r="U98" s="30">
        <f>30</f>
        <v>30</v>
      </c>
      <c r="V98" s="30">
        <f>359390550</f>
        <v>359390550</v>
      </c>
      <c r="W98" s="30">
        <f>104250</f>
        <v>104250</v>
      </c>
      <c r="X98" s="34">
        <f>18</f>
        <v>18</v>
      </c>
    </row>
    <row r="99" spans="1:24" x14ac:dyDescent="0.15">
      <c r="A99" s="25" t="s">
        <v>903</v>
      </c>
      <c r="B99" s="25" t="s">
        <v>327</v>
      </c>
      <c r="C99" s="25" t="s">
        <v>328</v>
      </c>
      <c r="D99" s="25" t="s">
        <v>329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4750</f>
        <v>4750</v>
      </c>
      <c r="L99" s="32" t="s">
        <v>904</v>
      </c>
      <c r="M99" s="31">
        <f>4879</f>
        <v>4879</v>
      </c>
      <c r="N99" s="32" t="s">
        <v>907</v>
      </c>
      <c r="O99" s="31">
        <f>4261</f>
        <v>4261</v>
      </c>
      <c r="P99" s="32" t="s">
        <v>820</v>
      </c>
      <c r="Q99" s="31">
        <f>4564</f>
        <v>4564</v>
      </c>
      <c r="R99" s="32" t="s">
        <v>94</v>
      </c>
      <c r="S99" s="33">
        <f>4619.28</f>
        <v>4619.28</v>
      </c>
      <c r="T99" s="30">
        <f>13280</f>
        <v>13280</v>
      </c>
      <c r="U99" s="30">
        <f>10</f>
        <v>10</v>
      </c>
      <c r="V99" s="30">
        <f>60719870</f>
        <v>60719870</v>
      </c>
      <c r="W99" s="30">
        <f>45380</f>
        <v>45380</v>
      </c>
      <c r="X99" s="34">
        <f>18</f>
        <v>18</v>
      </c>
    </row>
    <row r="100" spans="1:24" x14ac:dyDescent="0.15">
      <c r="A100" s="25" t="s">
        <v>903</v>
      </c>
      <c r="B100" s="25" t="s">
        <v>330</v>
      </c>
      <c r="C100" s="25" t="s">
        <v>331</v>
      </c>
      <c r="D100" s="25" t="s">
        <v>332</v>
      </c>
      <c r="E100" s="26" t="s">
        <v>45</v>
      </c>
      <c r="F100" s="27" t="s">
        <v>45</v>
      </c>
      <c r="G100" s="28" t="s">
        <v>45</v>
      </c>
      <c r="H100" s="29" t="s">
        <v>333</v>
      </c>
      <c r="I100" s="29" t="s">
        <v>46</v>
      </c>
      <c r="J100" s="30">
        <v>1</v>
      </c>
      <c r="K100" s="31">
        <f>1977</f>
        <v>1977</v>
      </c>
      <c r="L100" s="32" t="s">
        <v>904</v>
      </c>
      <c r="M100" s="31">
        <f>2500</f>
        <v>2500</v>
      </c>
      <c r="N100" s="32" t="s">
        <v>820</v>
      </c>
      <c r="O100" s="31">
        <f>1756</f>
        <v>1756</v>
      </c>
      <c r="P100" s="32" t="s">
        <v>905</v>
      </c>
      <c r="Q100" s="31">
        <f>2312</f>
        <v>2312</v>
      </c>
      <c r="R100" s="32" t="s">
        <v>94</v>
      </c>
      <c r="S100" s="33">
        <f>2032.39</f>
        <v>2032.39</v>
      </c>
      <c r="T100" s="30">
        <f>38579566</f>
        <v>38579566</v>
      </c>
      <c r="U100" s="30">
        <f>551</f>
        <v>551</v>
      </c>
      <c r="V100" s="30">
        <f>81746252312</f>
        <v>81746252312</v>
      </c>
      <c r="W100" s="30">
        <f>1347948</f>
        <v>1347948</v>
      </c>
      <c r="X100" s="34">
        <f>18</f>
        <v>18</v>
      </c>
    </row>
    <row r="101" spans="1:24" x14ac:dyDescent="0.15">
      <c r="A101" s="25" t="s">
        <v>903</v>
      </c>
      <c r="B101" s="25" t="s">
        <v>334</v>
      </c>
      <c r="C101" s="25" t="s">
        <v>335</v>
      </c>
      <c r="D101" s="25" t="s">
        <v>336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3092</f>
        <v>3092</v>
      </c>
      <c r="L101" s="32" t="s">
        <v>904</v>
      </c>
      <c r="M101" s="31">
        <f>3177</f>
        <v>3177</v>
      </c>
      <c r="N101" s="32" t="s">
        <v>905</v>
      </c>
      <c r="O101" s="31">
        <f>2860</f>
        <v>2860</v>
      </c>
      <c r="P101" s="32" t="s">
        <v>820</v>
      </c>
      <c r="Q101" s="31">
        <f>2965.5</f>
        <v>2965.5</v>
      </c>
      <c r="R101" s="32" t="s">
        <v>94</v>
      </c>
      <c r="S101" s="33">
        <f>3062.28</f>
        <v>3062.28</v>
      </c>
      <c r="T101" s="30">
        <f>129680</f>
        <v>129680</v>
      </c>
      <c r="U101" s="30">
        <f>20</f>
        <v>20</v>
      </c>
      <c r="V101" s="30">
        <f>394382270</f>
        <v>394382270</v>
      </c>
      <c r="W101" s="30">
        <f>58970</f>
        <v>58970</v>
      </c>
      <c r="X101" s="34">
        <f>18</f>
        <v>18</v>
      </c>
    </row>
    <row r="102" spans="1:24" x14ac:dyDescent="0.15">
      <c r="A102" s="25" t="s">
        <v>903</v>
      </c>
      <c r="B102" s="25" t="s">
        <v>337</v>
      </c>
      <c r="C102" s="25" t="s">
        <v>338</v>
      </c>
      <c r="D102" s="25" t="s">
        <v>339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1739</f>
        <v>1739</v>
      </c>
      <c r="L102" s="32" t="s">
        <v>904</v>
      </c>
      <c r="M102" s="31">
        <f>1838</f>
        <v>1838</v>
      </c>
      <c r="N102" s="32" t="s">
        <v>819</v>
      </c>
      <c r="O102" s="31">
        <f>1696</f>
        <v>1696</v>
      </c>
      <c r="P102" s="32" t="s">
        <v>695</v>
      </c>
      <c r="Q102" s="31">
        <f>1759.5</f>
        <v>1759.5</v>
      </c>
      <c r="R102" s="32" t="s">
        <v>94</v>
      </c>
      <c r="S102" s="33">
        <f>1751.22</f>
        <v>1751.22</v>
      </c>
      <c r="T102" s="30">
        <f>112640</f>
        <v>112640</v>
      </c>
      <c r="U102" s="30">
        <f>70</f>
        <v>70</v>
      </c>
      <c r="V102" s="30">
        <f>196984275</f>
        <v>196984275</v>
      </c>
      <c r="W102" s="30">
        <f>121610</f>
        <v>121610</v>
      </c>
      <c r="X102" s="34">
        <f>18</f>
        <v>18</v>
      </c>
    </row>
    <row r="103" spans="1:24" x14ac:dyDescent="0.15">
      <c r="A103" s="25" t="s">
        <v>903</v>
      </c>
      <c r="B103" s="25" t="s">
        <v>340</v>
      </c>
      <c r="C103" s="25" t="s">
        <v>341</v>
      </c>
      <c r="D103" s="25" t="s">
        <v>342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51700</f>
        <v>51700</v>
      </c>
      <c r="L103" s="32" t="s">
        <v>904</v>
      </c>
      <c r="M103" s="31">
        <f>52890</f>
        <v>52890</v>
      </c>
      <c r="N103" s="32" t="s">
        <v>905</v>
      </c>
      <c r="O103" s="31">
        <f>47180</f>
        <v>47180</v>
      </c>
      <c r="P103" s="32" t="s">
        <v>820</v>
      </c>
      <c r="Q103" s="31">
        <f>49520</f>
        <v>49520</v>
      </c>
      <c r="R103" s="32" t="s">
        <v>94</v>
      </c>
      <c r="S103" s="33">
        <f>50913.33</f>
        <v>50913.33</v>
      </c>
      <c r="T103" s="30">
        <f>148149</f>
        <v>148149</v>
      </c>
      <c r="U103" s="30">
        <f>3</f>
        <v>3</v>
      </c>
      <c r="V103" s="30">
        <f>7375095080</f>
        <v>7375095080</v>
      </c>
      <c r="W103" s="30">
        <f>158370</f>
        <v>158370</v>
      </c>
      <c r="X103" s="34">
        <f>18</f>
        <v>18</v>
      </c>
    </row>
    <row r="104" spans="1:24" x14ac:dyDescent="0.15">
      <c r="A104" s="25" t="s">
        <v>903</v>
      </c>
      <c r="B104" s="25" t="s">
        <v>343</v>
      </c>
      <c r="C104" s="25" t="s">
        <v>344</v>
      </c>
      <c r="D104" s="25" t="s">
        <v>345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3050</f>
        <v>3050</v>
      </c>
      <c r="L104" s="32" t="s">
        <v>904</v>
      </c>
      <c r="M104" s="31">
        <f>3165</f>
        <v>3165</v>
      </c>
      <c r="N104" s="32" t="s">
        <v>814</v>
      </c>
      <c r="O104" s="31">
        <f>3000</f>
        <v>3000</v>
      </c>
      <c r="P104" s="32" t="s">
        <v>904</v>
      </c>
      <c r="Q104" s="31">
        <f>3135</f>
        <v>3135</v>
      </c>
      <c r="R104" s="32" t="s">
        <v>94</v>
      </c>
      <c r="S104" s="33">
        <f>3108.61</f>
        <v>3108.61</v>
      </c>
      <c r="T104" s="30">
        <f>8398</f>
        <v>8398</v>
      </c>
      <c r="U104" s="30">
        <f>1</f>
        <v>1</v>
      </c>
      <c r="V104" s="30">
        <f>26015430</f>
        <v>26015430</v>
      </c>
      <c r="W104" s="30">
        <f>3140</f>
        <v>3140</v>
      </c>
      <c r="X104" s="34">
        <f>18</f>
        <v>18</v>
      </c>
    </row>
    <row r="105" spans="1:24" x14ac:dyDescent="0.15">
      <c r="A105" s="25" t="s">
        <v>903</v>
      </c>
      <c r="B105" s="25" t="s">
        <v>346</v>
      </c>
      <c r="C105" s="25" t="s">
        <v>347</v>
      </c>
      <c r="D105" s="25" t="s">
        <v>348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4065</f>
        <v>4065</v>
      </c>
      <c r="L105" s="32" t="s">
        <v>904</v>
      </c>
      <c r="M105" s="31">
        <f>4195</f>
        <v>4195</v>
      </c>
      <c r="N105" s="32" t="s">
        <v>819</v>
      </c>
      <c r="O105" s="31">
        <f>4040</f>
        <v>4040</v>
      </c>
      <c r="P105" s="32" t="s">
        <v>904</v>
      </c>
      <c r="Q105" s="31">
        <f>4150</f>
        <v>4150</v>
      </c>
      <c r="R105" s="32" t="s">
        <v>94</v>
      </c>
      <c r="S105" s="33">
        <f>4123.61</f>
        <v>4123.6099999999997</v>
      </c>
      <c r="T105" s="30">
        <f>2313</f>
        <v>2313</v>
      </c>
      <c r="U105" s="30" t="str">
        <f>"－"</f>
        <v>－</v>
      </c>
      <c r="V105" s="30">
        <f>9567880</f>
        <v>9567880</v>
      </c>
      <c r="W105" s="30" t="str">
        <f>"－"</f>
        <v>－</v>
      </c>
      <c r="X105" s="34">
        <f>18</f>
        <v>18</v>
      </c>
    </row>
    <row r="106" spans="1:24" x14ac:dyDescent="0.15">
      <c r="A106" s="25" t="s">
        <v>903</v>
      </c>
      <c r="B106" s="25" t="s">
        <v>349</v>
      </c>
      <c r="C106" s="25" t="s">
        <v>350</v>
      </c>
      <c r="D106" s="25" t="s">
        <v>351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2870</f>
        <v>2870</v>
      </c>
      <c r="L106" s="32" t="s">
        <v>904</v>
      </c>
      <c r="M106" s="31">
        <f>2966</f>
        <v>2966</v>
      </c>
      <c r="N106" s="32" t="s">
        <v>909</v>
      </c>
      <c r="O106" s="31">
        <f>2206</f>
        <v>2206</v>
      </c>
      <c r="P106" s="32" t="s">
        <v>66</v>
      </c>
      <c r="Q106" s="31">
        <f>2455</f>
        <v>2455</v>
      </c>
      <c r="R106" s="32" t="s">
        <v>94</v>
      </c>
      <c r="S106" s="33">
        <f>2562.06</f>
        <v>2562.06</v>
      </c>
      <c r="T106" s="30">
        <f>1054548</f>
        <v>1054548</v>
      </c>
      <c r="U106" s="30" t="str">
        <f>"－"</f>
        <v>－</v>
      </c>
      <c r="V106" s="30">
        <f>2713498883</f>
        <v>2713498883</v>
      </c>
      <c r="W106" s="30" t="str">
        <f>"－"</f>
        <v>－</v>
      </c>
      <c r="X106" s="34">
        <f>18</f>
        <v>18</v>
      </c>
    </row>
    <row r="107" spans="1:24" x14ac:dyDescent="0.15">
      <c r="A107" s="25" t="s">
        <v>903</v>
      </c>
      <c r="B107" s="25" t="s">
        <v>352</v>
      </c>
      <c r="C107" s="25" t="s">
        <v>353</v>
      </c>
      <c r="D107" s="25" t="s">
        <v>354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43110</f>
        <v>43110</v>
      </c>
      <c r="L107" s="32" t="s">
        <v>904</v>
      </c>
      <c r="M107" s="31">
        <f>43720</f>
        <v>43720</v>
      </c>
      <c r="N107" s="32" t="s">
        <v>819</v>
      </c>
      <c r="O107" s="31">
        <f>42450</f>
        <v>42450</v>
      </c>
      <c r="P107" s="32" t="s">
        <v>94</v>
      </c>
      <c r="Q107" s="31">
        <f>42610</f>
        <v>42610</v>
      </c>
      <c r="R107" s="32" t="s">
        <v>94</v>
      </c>
      <c r="S107" s="33">
        <f>43274.44</f>
        <v>43274.44</v>
      </c>
      <c r="T107" s="30">
        <f>14307</f>
        <v>14307</v>
      </c>
      <c r="U107" s="30">
        <f>243</f>
        <v>243</v>
      </c>
      <c r="V107" s="30">
        <f>617742227</f>
        <v>617742227</v>
      </c>
      <c r="W107" s="30">
        <f>10556597</f>
        <v>10556597</v>
      </c>
      <c r="X107" s="34">
        <f>18</f>
        <v>18</v>
      </c>
    </row>
    <row r="108" spans="1:24" x14ac:dyDescent="0.15">
      <c r="A108" s="25" t="s">
        <v>903</v>
      </c>
      <c r="B108" s="25" t="s">
        <v>355</v>
      </c>
      <c r="C108" s="25" t="s">
        <v>356</v>
      </c>
      <c r="D108" s="25" t="s">
        <v>357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23060</f>
        <v>23060</v>
      </c>
      <c r="L108" s="32" t="s">
        <v>904</v>
      </c>
      <c r="M108" s="31">
        <f>24435</f>
        <v>24435</v>
      </c>
      <c r="N108" s="32" t="s">
        <v>905</v>
      </c>
      <c r="O108" s="31">
        <f>21355</f>
        <v>21355</v>
      </c>
      <c r="P108" s="32" t="s">
        <v>820</v>
      </c>
      <c r="Q108" s="31">
        <f>22400</f>
        <v>22400</v>
      </c>
      <c r="R108" s="32" t="s">
        <v>94</v>
      </c>
      <c r="S108" s="33">
        <f>23149.72</f>
        <v>23149.72</v>
      </c>
      <c r="T108" s="30">
        <f>2030240</f>
        <v>2030240</v>
      </c>
      <c r="U108" s="30">
        <f>5490</f>
        <v>5490</v>
      </c>
      <c r="V108" s="30">
        <f>46597171860</f>
        <v>46597171860</v>
      </c>
      <c r="W108" s="30">
        <f>128118810</f>
        <v>128118810</v>
      </c>
      <c r="X108" s="34">
        <f>18</f>
        <v>18</v>
      </c>
    </row>
    <row r="109" spans="1:24" x14ac:dyDescent="0.15">
      <c r="A109" s="25" t="s">
        <v>903</v>
      </c>
      <c r="B109" s="25" t="s">
        <v>358</v>
      </c>
      <c r="C109" s="25" t="s">
        <v>359</v>
      </c>
      <c r="D109" s="25" t="s">
        <v>360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2188.5</f>
        <v>2188.5</v>
      </c>
      <c r="L109" s="32" t="s">
        <v>904</v>
      </c>
      <c r="M109" s="31">
        <f>2266</f>
        <v>2266</v>
      </c>
      <c r="N109" s="32" t="s">
        <v>820</v>
      </c>
      <c r="O109" s="31">
        <f>2125</f>
        <v>2125</v>
      </c>
      <c r="P109" s="32" t="s">
        <v>905</v>
      </c>
      <c r="Q109" s="31">
        <f>2215.5</f>
        <v>2215.5</v>
      </c>
      <c r="R109" s="32" t="s">
        <v>94</v>
      </c>
      <c r="S109" s="33">
        <f>2181.83</f>
        <v>2181.83</v>
      </c>
      <c r="T109" s="30">
        <f>188910</f>
        <v>188910</v>
      </c>
      <c r="U109" s="30" t="str">
        <f>"－"</f>
        <v>－</v>
      </c>
      <c r="V109" s="30">
        <f>415940255</f>
        <v>415940255</v>
      </c>
      <c r="W109" s="30" t="str">
        <f>"－"</f>
        <v>－</v>
      </c>
      <c r="X109" s="34">
        <f>18</f>
        <v>18</v>
      </c>
    </row>
    <row r="110" spans="1:24" x14ac:dyDescent="0.15">
      <c r="A110" s="25" t="s">
        <v>903</v>
      </c>
      <c r="B110" s="25" t="s">
        <v>361</v>
      </c>
      <c r="C110" s="25" t="s">
        <v>362</v>
      </c>
      <c r="D110" s="25" t="s">
        <v>363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13985</f>
        <v>13985</v>
      </c>
      <c r="L110" s="32" t="s">
        <v>904</v>
      </c>
      <c r="M110" s="31">
        <f>14570</f>
        <v>14570</v>
      </c>
      <c r="N110" s="32" t="s">
        <v>905</v>
      </c>
      <c r="O110" s="31">
        <f>12420</f>
        <v>12420</v>
      </c>
      <c r="P110" s="32" t="s">
        <v>820</v>
      </c>
      <c r="Q110" s="31">
        <f>13175</f>
        <v>13175</v>
      </c>
      <c r="R110" s="32" t="s">
        <v>94</v>
      </c>
      <c r="S110" s="33">
        <f>13733.61</f>
        <v>13733.61</v>
      </c>
      <c r="T110" s="30">
        <f>174037841</f>
        <v>174037841</v>
      </c>
      <c r="U110" s="30">
        <f>155010</f>
        <v>155010</v>
      </c>
      <c r="V110" s="30">
        <f>2363402819821</f>
        <v>2363402819821</v>
      </c>
      <c r="W110" s="30">
        <f>2133910141</f>
        <v>2133910141</v>
      </c>
      <c r="X110" s="34">
        <f>18</f>
        <v>18</v>
      </c>
    </row>
    <row r="111" spans="1:24" x14ac:dyDescent="0.15">
      <c r="A111" s="25" t="s">
        <v>903</v>
      </c>
      <c r="B111" s="25" t="s">
        <v>364</v>
      </c>
      <c r="C111" s="25" t="s">
        <v>365</v>
      </c>
      <c r="D111" s="25" t="s">
        <v>366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1030</f>
        <v>1030</v>
      </c>
      <c r="L111" s="32" t="s">
        <v>904</v>
      </c>
      <c r="M111" s="31">
        <f>1089</f>
        <v>1089</v>
      </c>
      <c r="N111" s="32" t="s">
        <v>820</v>
      </c>
      <c r="O111" s="31">
        <f>1008</f>
        <v>1008</v>
      </c>
      <c r="P111" s="32" t="s">
        <v>905</v>
      </c>
      <c r="Q111" s="31">
        <f>1056</f>
        <v>1056</v>
      </c>
      <c r="R111" s="32" t="s">
        <v>94</v>
      </c>
      <c r="S111" s="33">
        <f>1037.94</f>
        <v>1037.94</v>
      </c>
      <c r="T111" s="30">
        <f>41081126</f>
        <v>41081126</v>
      </c>
      <c r="U111" s="30">
        <f>5831</f>
        <v>5831</v>
      </c>
      <c r="V111" s="30">
        <f>42722691268</f>
        <v>42722691268</v>
      </c>
      <c r="W111" s="30">
        <f>6011978</f>
        <v>6011978</v>
      </c>
      <c r="X111" s="34">
        <f>18</f>
        <v>18</v>
      </c>
    </row>
    <row r="112" spans="1:24" x14ac:dyDescent="0.15">
      <c r="A112" s="25" t="s">
        <v>903</v>
      </c>
      <c r="B112" s="25" t="s">
        <v>367</v>
      </c>
      <c r="C112" s="25" t="s">
        <v>368</v>
      </c>
      <c r="D112" s="25" t="s">
        <v>369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7153</f>
        <v>7153</v>
      </c>
      <c r="L112" s="32" t="s">
        <v>904</v>
      </c>
      <c r="M112" s="31">
        <f>7960</f>
        <v>7960</v>
      </c>
      <c r="N112" s="32" t="s">
        <v>905</v>
      </c>
      <c r="O112" s="31">
        <f>6400</f>
        <v>6400</v>
      </c>
      <c r="P112" s="32" t="s">
        <v>94</v>
      </c>
      <c r="Q112" s="31">
        <f>6547</f>
        <v>6547</v>
      </c>
      <c r="R112" s="32" t="s">
        <v>94</v>
      </c>
      <c r="S112" s="33">
        <f>7305</f>
        <v>7305</v>
      </c>
      <c r="T112" s="30">
        <f>45400</f>
        <v>45400</v>
      </c>
      <c r="U112" s="30">
        <f>60</f>
        <v>60</v>
      </c>
      <c r="V112" s="30">
        <f>323035640</f>
        <v>323035640</v>
      </c>
      <c r="W112" s="30">
        <f>422600</f>
        <v>422600</v>
      </c>
      <c r="X112" s="34">
        <f>18</f>
        <v>18</v>
      </c>
    </row>
    <row r="113" spans="1:24" x14ac:dyDescent="0.15">
      <c r="A113" s="25" t="s">
        <v>903</v>
      </c>
      <c r="B113" s="25" t="s">
        <v>370</v>
      </c>
      <c r="C113" s="25" t="s">
        <v>371</v>
      </c>
      <c r="D113" s="25" t="s">
        <v>372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8346</f>
        <v>8346</v>
      </c>
      <c r="L113" s="32" t="s">
        <v>904</v>
      </c>
      <c r="M113" s="31">
        <f>9042</f>
        <v>9042</v>
      </c>
      <c r="N113" s="32" t="s">
        <v>94</v>
      </c>
      <c r="O113" s="31">
        <f>8040</f>
        <v>8040</v>
      </c>
      <c r="P113" s="32" t="s">
        <v>905</v>
      </c>
      <c r="Q113" s="31">
        <f>8813</f>
        <v>8813</v>
      </c>
      <c r="R113" s="32" t="s">
        <v>94</v>
      </c>
      <c r="S113" s="33">
        <f>8334.94</f>
        <v>8334.94</v>
      </c>
      <c r="T113" s="30">
        <f>11490</f>
        <v>11490</v>
      </c>
      <c r="U113" s="30" t="str">
        <f>"－"</f>
        <v>－</v>
      </c>
      <c r="V113" s="30">
        <f>97667390</f>
        <v>97667390</v>
      </c>
      <c r="W113" s="30" t="str">
        <f>"－"</f>
        <v>－</v>
      </c>
      <c r="X113" s="34">
        <f>18</f>
        <v>18</v>
      </c>
    </row>
    <row r="114" spans="1:24" x14ac:dyDescent="0.15">
      <c r="A114" s="25" t="s">
        <v>903</v>
      </c>
      <c r="B114" s="25" t="s">
        <v>373</v>
      </c>
      <c r="C114" s="25" t="s">
        <v>374</v>
      </c>
      <c r="D114" s="25" t="s">
        <v>375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782</f>
        <v>782</v>
      </c>
      <c r="L114" s="32" t="s">
        <v>904</v>
      </c>
      <c r="M114" s="31">
        <f>802.5</f>
        <v>802.5</v>
      </c>
      <c r="N114" s="32" t="s">
        <v>906</v>
      </c>
      <c r="O114" s="31">
        <f>745</f>
        <v>745</v>
      </c>
      <c r="P114" s="32" t="s">
        <v>815</v>
      </c>
      <c r="Q114" s="31">
        <f>772</f>
        <v>772</v>
      </c>
      <c r="R114" s="32" t="s">
        <v>94</v>
      </c>
      <c r="S114" s="33">
        <f>773.93</f>
        <v>773.93</v>
      </c>
      <c r="T114" s="30">
        <f>7520</f>
        <v>7520</v>
      </c>
      <c r="U114" s="30" t="str">
        <f>"－"</f>
        <v>－</v>
      </c>
      <c r="V114" s="30">
        <f>5828175</f>
        <v>5828175</v>
      </c>
      <c r="W114" s="30" t="str">
        <f>"－"</f>
        <v>－</v>
      </c>
      <c r="X114" s="34">
        <f>17</f>
        <v>17</v>
      </c>
    </row>
    <row r="115" spans="1:24" x14ac:dyDescent="0.15">
      <c r="A115" s="25" t="s">
        <v>903</v>
      </c>
      <c r="B115" s="25" t="s">
        <v>376</v>
      </c>
      <c r="C115" s="25" t="s">
        <v>377</v>
      </c>
      <c r="D115" s="25" t="s">
        <v>378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23580</f>
        <v>23580</v>
      </c>
      <c r="L115" s="32" t="s">
        <v>904</v>
      </c>
      <c r="M115" s="31">
        <f>24340</f>
        <v>24340</v>
      </c>
      <c r="N115" s="32" t="s">
        <v>911</v>
      </c>
      <c r="O115" s="31">
        <f>23070</f>
        <v>23070</v>
      </c>
      <c r="P115" s="32" t="s">
        <v>815</v>
      </c>
      <c r="Q115" s="31">
        <f>23390</f>
        <v>23390</v>
      </c>
      <c r="R115" s="32" t="s">
        <v>94</v>
      </c>
      <c r="S115" s="33">
        <f>23865</f>
        <v>23865</v>
      </c>
      <c r="T115" s="30">
        <f>74655</f>
        <v>74655</v>
      </c>
      <c r="U115" s="30">
        <f>402</f>
        <v>402</v>
      </c>
      <c r="V115" s="30">
        <f>1789103470</f>
        <v>1789103470</v>
      </c>
      <c r="W115" s="30">
        <f>9711190</f>
        <v>9711190</v>
      </c>
      <c r="X115" s="34">
        <f>18</f>
        <v>18</v>
      </c>
    </row>
    <row r="116" spans="1:24" x14ac:dyDescent="0.15">
      <c r="A116" s="25" t="s">
        <v>903</v>
      </c>
      <c r="B116" s="25" t="s">
        <v>379</v>
      </c>
      <c r="C116" s="25" t="s">
        <v>380</v>
      </c>
      <c r="D116" s="25" t="s">
        <v>381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2166</f>
        <v>2166</v>
      </c>
      <c r="L116" s="32" t="s">
        <v>904</v>
      </c>
      <c r="M116" s="31">
        <f>2213</f>
        <v>2213</v>
      </c>
      <c r="N116" s="32" t="s">
        <v>905</v>
      </c>
      <c r="O116" s="31">
        <f>2046</f>
        <v>2046</v>
      </c>
      <c r="P116" s="32" t="s">
        <v>820</v>
      </c>
      <c r="Q116" s="31">
        <f>2115</f>
        <v>2115</v>
      </c>
      <c r="R116" s="32" t="s">
        <v>94</v>
      </c>
      <c r="S116" s="33">
        <f>2156.56</f>
        <v>2156.56</v>
      </c>
      <c r="T116" s="30">
        <f>31026</f>
        <v>31026</v>
      </c>
      <c r="U116" s="30">
        <f>3</f>
        <v>3</v>
      </c>
      <c r="V116" s="30">
        <f>66054773</f>
        <v>66054773</v>
      </c>
      <c r="W116" s="30">
        <f>6483</f>
        <v>6483</v>
      </c>
      <c r="X116" s="34">
        <f>18</f>
        <v>18</v>
      </c>
    </row>
    <row r="117" spans="1:24" x14ac:dyDescent="0.15">
      <c r="A117" s="25" t="s">
        <v>903</v>
      </c>
      <c r="B117" s="25" t="s">
        <v>382</v>
      </c>
      <c r="C117" s="25" t="s">
        <v>383</v>
      </c>
      <c r="D117" s="25" t="s">
        <v>384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14970</f>
        <v>14970</v>
      </c>
      <c r="L117" s="32" t="s">
        <v>904</v>
      </c>
      <c r="M117" s="31">
        <f>15590</f>
        <v>15590</v>
      </c>
      <c r="N117" s="32" t="s">
        <v>905</v>
      </c>
      <c r="O117" s="31">
        <f>13280</f>
        <v>13280</v>
      </c>
      <c r="P117" s="32" t="s">
        <v>820</v>
      </c>
      <c r="Q117" s="31">
        <f>14080</f>
        <v>14080</v>
      </c>
      <c r="R117" s="32" t="s">
        <v>94</v>
      </c>
      <c r="S117" s="33">
        <f>14697.22</f>
        <v>14697.22</v>
      </c>
      <c r="T117" s="30">
        <f>16434490</f>
        <v>16434490</v>
      </c>
      <c r="U117" s="30">
        <f>100</f>
        <v>100</v>
      </c>
      <c r="V117" s="30">
        <f>239282887550</f>
        <v>239282887550</v>
      </c>
      <c r="W117" s="30">
        <f>1436300</f>
        <v>1436300</v>
      </c>
      <c r="X117" s="34">
        <f>18</f>
        <v>18</v>
      </c>
    </row>
    <row r="118" spans="1:24" x14ac:dyDescent="0.15">
      <c r="A118" s="25" t="s">
        <v>903</v>
      </c>
      <c r="B118" s="25" t="s">
        <v>385</v>
      </c>
      <c r="C118" s="25" t="s">
        <v>386</v>
      </c>
      <c r="D118" s="25" t="s">
        <v>387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2741.5</f>
        <v>2741.5</v>
      </c>
      <c r="L118" s="32" t="s">
        <v>904</v>
      </c>
      <c r="M118" s="31">
        <f>2895</f>
        <v>2895</v>
      </c>
      <c r="N118" s="32" t="s">
        <v>820</v>
      </c>
      <c r="O118" s="31">
        <f>2684</f>
        <v>2684</v>
      </c>
      <c r="P118" s="32" t="s">
        <v>905</v>
      </c>
      <c r="Q118" s="31">
        <f>2810.5</f>
        <v>2810.5</v>
      </c>
      <c r="R118" s="32" t="s">
        <v>94</v>
      </c>
      <c r="S118" s="33">
        <f>2762.67</f>
        <v>2762.67</v>
      </c>
      <c r="T118" s="30">
        <f>1744060</f>
        <v>1744060</v>
      </c>
      <c r="U118" s="30">
        <f>170</f>
        <v>170</v>
      </c>
      <c r="V118" s="30">
        <f>4838431535</f>
        <v>4838431535</v>
      </c>
      <c r="W118" s="30">
        <f>471680</f>
        <v>471680</v>
      </c>
      <c r="X118" s="34">
        <f>18</f>
        <v>18</v>
      </c>
    </row>
    <row r="119" spans="1:24" x14ac:dyDescent="0.15">
      <c r="A119" s="25" t="s">
        <v>903</v>
      </c>
      <c r="B119" s="25" t="s">
        <v>388</v>
      </c>
      <c r="C119" s="25" t="s">
        <v>389</v>
      </c>
      <c r="D119" s="25" t="s">
        <v>390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877</f>
        <v>877</v>
      </c>
      <c r="L119" s="32" t="s">
        <v>904</v>
      </c>
      <c r="M119" s="31">
        <f>900</f>
        <v>900</v>
      </c>
      <c r="N119" s="32" t="s">
        <v>906</v>
      </c>
      <c r="O119" s="31">
        <f>850.5</f>
        <v>850.5</v>
      </c>
      <c r="P119" s="32" t="s">
        <v>820</v>
      </c>
      <c r="Q119" s="31">
        <f>851</f>
        <v>851</v>
      </c>
      <c r="R119" s="32" t="s">
        <v>815</v>
      </c>
      <c r="S119" s="33">
        <f>878.23</f>
        <v>878.23</v>
      </c>
      <c r="T119" s="30">
        <f>1140</f>
        <v>1140</v>
      </c>
      <c r="U119" s="30" t="str">
        <f>"－"</f>
        <v>－</v>
      </c>
      <c r="V119" s="30">
        <f>990305</f>
        <v>990305</v>
      </c>
      <c r="W119" s="30" t="str">
        <f>"－"</f>
        <v>－</v>
      </c>
      <c r="X119" s="34">
        <f>11</f>
        <v>11</v>
      </c>
    </row>
    <row r="120" spans="1:24" x14ac:dyDescent="0.15">
      <c r="A120" s="25" t="s">
        <v>903</v>
      </c>
      <c r="B120" s="25" t="s">
        <v>391</v>
      </c>
      <c r="C120" s="25" t="s">
        <v>392</v>
      </c>
      <c r="D120" s="25" t="s">
        <v>393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1504</f>
        <v>1504</v>
      </c>
      <c r="L120" s="32" t="s">
        <v>904</v>
      </c>
      <c r="M120" s="31">
        <f>1534</f>
        <v>1534</v>
      </c>
      <c r="N120" s="32" t="s">
        <v>905</v>
      </c>
      <c r="O120" s="31">
        <f>1484</f>
        <v>1484</v>
      </c>
      <c r="P120" s="32" t="s">
        <v>66</v>
      </c>
      <c r="Q120" s="31">
        <f>1484</f>
        <v>1484</v>
      </c>
      <c r="R120" s="32" t="s">
        <v>66</v>
      </c>
      <c r="S120" s="33">
        <f>1506.78</f>
        <v>1506.78</v>
      </c>
      <c r="T120" s="30">
        <f>330</f>
        <v>330</v>
      </c>
      <c r="U120" s="30" t="str">
        <f>"－"</f>
        <v>－</v>
      </c>
      <c r="V120" s="30">
        <f>496780</f>
        <v>496780</v>
      </c>
      <c r="W120" s="30" t="str">
        <f>"－"</f>
        <v>－</v>
      </c>
      <c r="X120" s="34">
        <f>9</f>
        <v>9</v>
      </c>
    </row>
    <row r="121" spans="1:24" x14ac:dyDescent="0.15">
      <c r="A121" s="25" t="s">
        <v>903</v>
      </c>
      <c r="B121" s="25" t="s">
        <v>394</v>
      </c>
      <c r="C121" s="25" t="s">
        <v>395</v>
      </c>
      <c r="D121" s="25" t="s">
        <v>396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1648</f>
        <v>1648</v>
      </c>
      <c r="L121" s="32" t="s">
        <v>904</v>
      </c>
      <c r="M121" s="31">
        <f>1725</f>
        <v>1725</v>
      </c>
      <c r="N121" s="32" t="s">
        <v>909</v>
      </c>
      <c r="O121" s="31">
        <f>1575</f>
        <v>1575</v>
      </c>
      <c r="P121" s="32" t="s">
        <v>820</v>
      </c>
      <c r="Q121" s="31">
        <f>1628</f>
        <v>1628</v>
      </c>
      <c r="R121" s="32" t="s">
        <v>94</v>
      </c>
      <c r="S121" s="33">
        <f>1641.06</f>
        <v>1641.06</v>
      </c>
      <c r="T121" s="30">
        <f>8573</f>
        <v>8573</v>
      </c>
      <c r="U121" s="30" t="str">
        <f>"－"</f>
        <v>－</v>
      </c>
      <c r="V121" s="30">
        <f>14023384</f>
        <v>14023384</v>
      </c>
      <c r="W121" s="30" t="str">
        <f>"－"</f>
        <v>－</v>
      </c>
      <c r="X121" s="34">
        <f>18</f>
        <v>18</v>
      </c>
    </row>
    <row r="122" spans="1:24" x14ac:dyDescent="0.15">
      <c r="A122" s="25" t="s">
        <v>903</v>
      </c>
      <c r="B122" s="25" t="s">
        <v>397</v>
      </c>
      <c r="C122" s="25" t="s">
        <v>398</v>
      </c>
      <c r="D122" s="25" t="s">
        <v>399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17340</f>
        <v>17340</v>
      </c>
      <c r="L122" s="32" t="s">
        <v>904</v>
      </c>
      <c r="M122" s="31">
        <f>17780</f>
        <v>17780</v>
      </c>
      <c r="N122" s="32" t="s">
        <v>905</v>
      </c>
      <c r="O122" s="31">
        <f>16685</f>
        <v>16685</v>
      </c>
      <c r="P122" s="32" t="s">
        <v>820</v>
      </c>
      <c r="Q122" s="31">
        <f>17065</f>
        <v>17065</v>
      </c>
      <c r="R122" s="32" t="s">
        <v>94</v>
      </c>
      <c r="S122" s="33">
        <f>17341.11</f>
        <v>17341.11</v>
      </c>
      <c r="T122" s="30">
        <f>70376</f>
        <v>70376</v>
      </c>
      <c r="U122" s="30">
        <f>44804</f>
        <v>44804</v>
      </c>
      <c r="V122" s="30">
        <f>1203655726</f>
        <v>1203655726</v>
      </c>
      <c r="W122" s="30">
        <f>762738441</f>
        <v>762738441</v>
      </c>
      <c r="X122" s="34">
        <f>18</f>
        <v>18</v>
      </c>
    </row>
    <row r="123" spans="1:24" x14ac:dyDescent="0.15">
      <c r="A123" s="25" t="s">
        <v>903</v>
      </c>
      <c r="B123" s="25" t="s">
        <v>400</v>
      </c>
      <c r="C123" s="25" t="s">
        <v>401</v>
      </c>
      <c r="D123" s="25" t="s">
        <v>402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1586</f>
        <v>1586</v>
      </c>
      <c r="L123" s="32" t="s">
        <v>904</v>
      </c>
      <c r="M123" s="31">
        <f>1622</f>
        <v>1622</v>
      </c>
      <c r="N123" s="32" t="s">
        <v>905</v>
      </c>
      <c r="O123" s="31">
        <f>1523</f>
        <v>1523</v>
      </c>
      <c r="P123" s="32" t="s">
        <v>820</v>
      </c>
      <c r="Q123" s="31">
        <f>1554</f>
        <v>1554</v>
      </c>
      <c r="R123" s="32" t="s">
        <v>94</v>
      </c>
      <c r="S123" s="33">
        <f>1581.39</f>
        <v>1581.39</v>
      </c>
      <c r="T123" s="30">
        <f>317371</f>
        <v>317371</v>
      </c>
      <c r="U123" s="30">
        <f>2</f>
        <v>2</v>
      </c>
      <c r="V123" s="30">
        <f>500658065</f>
        <v>500658065</v>
      </c>
      <c r="W123" s="30">
        <f>3100</f>
        <v>3100</v>
      </c>
      <c r="X123" s="34">
        <f>18</f>
        <v>18</v>
      </c>
    </row>
    <row r="124" spans="1:24" x14ac:dyDescent="0.15">
      <c r="A124" s="25" t="s">
        <v>903</v>
      </c>
      <c r="B124" s="25" t="s">
        <v>403</v>
      </c>
      <c r="C124" s="25" t="s">
        <v>404</v>
      </c>
      <c r="D124" s="25" t="s">
        <v>405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17610</f>
        <v>17610</v>
      </c>
      <c r="L124" s="32" t="s">
        <v>904</v>
      </c>
      <c r="M124" s="31">
        <f>18130</f>
        <v>18130</v>
      </c>
      <c r="N124" s="32" t="s">
        <v>905</v>
      </c>
      <c r="O124" s="31">
        <f>17010</f>
        <v>17010</v>
      </c>
      <c r="P124" s="32" t="s">
        <v>820</v>
      </c>
      <c r="Q124" s="31">
        <f>17380</f>
        <v>17380</v>
      </c>
      <c r="R124" s="32" t="s">
        <v>94</v>
      </c>
      <c r="S124" s="33">
        <f>17667.78</f>
        <v>17667.78</v>
      </c>
      <c r="T124" s="30">
        <f>38357</f>
        <v>38357</v>
      </c>
      <c r="U124" s="30">
        <f>4</f>
        <v>4</v>
      </c>
      <c r="V124" s="30">
        <f>676209670</f>
        <v>676209670</v>
      </c>
      <c r="W124" s="30">
        <f>69250</f>
        <v>69250</v>
      </c>
      <c r="X124" s="34">
        <f>18</f>
        <v>18</v>
      </c>
    </row>
    <row r="125" spans="1:24" x14ac:dyDescent="0.15">
      <c r="A125" s="25" t="s">
        <v>903</v>
      </c>
      <c r="B125" s="25" t="s">
        <v>406</v>
      </c>
      <c r="C125" s="25" t="s">
        <v>407</v>
      </c>
      <c r="D125" s="25" t="s">
        <v>408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1999</f>
        <v>1999</v>
      </c>
      <c r="L125" s="32" t="s">
        <v>904</v>
      </c>
      <c r="M125" s="31">
        <f>2001</f>
        <v>2001</v>
      </c>
      <c r="N125" s="32" t="s">
        <v>904</v>
      </c>
      <c r="O125" s="31">
        <f>1880</f>
        <v>1880</v>
      </c>
      <c r="P125" s="32" t="s">
        <v>820</v>
      </c>
      <c r="Q125" s="31">
        <f>1927.5</f>
        <v>1927.5</v>
      </c>
      <c r="R125" s="32" t="s">
        <v>94</v>
      </c>
      <c r="S125" s="33">
        <f>1934.89</f>
        <v>1934.89</v>
      </c>
      <c r="T125" s="30">
        <f>2186460</f>
        <v>2186460</v>
      </c>
      <c r="U125" s="30">
        <f>916000</f>
        <v>916000</v>
      </c>
      <c r="V125" s="30">
        <f>4208722180</f>
        <v>4208722180</v>
      </c>
      <c r="W125" s="30">
        <f>1774953100</f>
        <v>1774953100</v>
      </c>
      <c r="X125" s="34">
        <f>18</f>
        <v>18</v>
      </c>
    </row>
    <row r="126" spans="1:24" x14ac:dyDescent="0.15">
      <c r="A126" s="25" t="s">
        <v>903</v>
      </c>
      <c r="B126" s="25" t="s">
        <v>409</v>
      </c>
      <c r="C126" s="25" t="s">
        <v>410</v>
      </c>
      <c r="D126" s="25" t="s">
        <v>411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1665</f>
        <v>1665</v>
      </c>
      <c r="L126" s="32" t="s">
        <v>909</v>
      </c>
      <c r="M126" s="31">
        <f>1678</f>
        <v>1678</v>
      </c>
      <c r="N126" s="32" t="s">
        <v>911</v>
      </c>
      <c r="O126" s="31">
        <f>1599</f>
        <v>1599</v>
      </c>
      <c r="P126" s="32" t="s">
        <v>820</v>
      </c>
      <c r="Q126" s="31">
        <f>1623</f>
        <v>1623</v>
      </c>
      <c r="R126" s="32" t="s">
        <v>94</v>
      </c>
      <c r="S126" s="33">
        <f>1646.67</f>
        <v>1646.67</v>
      </c>
      <c r="T126" s="30">
        <f>260</f>
        <v>260</v>
      </c>
      <c r="U126" s="30" t="str">
        <f>"－"</f>
        <v>－</v>
      </c>
      <c r="V126" s="30">
        <f>429330</f>
        <v>429330</v>
      </c>
      <c r="W126" s="30" t="str">
        <f>"－"</f>
        <v>－</v>
      </c>
      <c r="X126" s="34">
        <f>9</f>
        <v>9</v>
      </c>
    </row>
    <row r="127" spans="1:24" x14ac:dyDescent="0.15">
      <c r="A127" s="25" t="s">
        <v>903</v>
      </c>
      <c r="B127" s="25" t="s">
        <v>412</v>
      </c>
      <c r="C127" s="25" t="s">
        <v>413</v>
      </c>
      <c r="D127" s="25" t="s">
        <v>414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</v>
      </c>
      <c r="K127" s="31">
        <f>2010.5</f>
        <v>2010.5</v>
      </c>
      <c r="L127" s="32" t="s">
        <v>904</v>
      </c>
      <c r="M127" s="31">
        <f>2024.5</f>
        <v>2024.5</v>
      </c>
      <c r="N127" s="32" t="s">
        <v>904</v>
      </c>
      <c r="O127" s="31">
        <f>1897</f>
        <v>1897</v>
      </c>
      <c r="P127" s="32" t="s">
        <v>820</v>
      </c>
      <c r="Q127" s="31">
        <f>1943</f>
        <v>1943</v>
      </c>
      <c r="R127" s="32" t="s">
        <v>94</v>
      </c>
      <c r="S127" s="33">
        <f>1955.14</f>
        <v>1955.14</v>
      </c>
      <c r="T127" s="30">
        <f>386780</f>
        <v>386780</v>
      </c>
      <c r="U127" s="30" t="str">
        <f>"－"</f>
        <v>－</v>
      </c>
      <c r="V127" s="30">
        <f>756958300</f>
        <v>756958300</v>
      </c>
      <c r="W127" s="30" t="str">
        <f>"－"</f>
        <v>－</v>
      </c>
      <c r="X127" s="34">
        <f>18</f>
        <v>18</v>
      </c>
    </row>
    <row r="128" spans="1:24" x14ac:dyDescent="0.15">
      <c r="A128" s="25" t="s">
        <v>903</v>
      </c>
      <c r="B128" s="25" t="s">
        <v>415</v>
      </c>
      <c r="C128" s="25" t="s">
        <v>416</v>
      </c>
      <c r="D128" s="25" t="s">
        <v>417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17240</f>
        <v>17240</v>
      </c>
      <c r="L128" s="32" t="s">
        <v>904</v>
      </c>
      <c r="M128" s="31">
        <f>18745</f>
        <v>18745</v>
      </c>
      <c r="N128" s="32" t="s">
        <v>907</v>
      </c>
      <c r="O128" s="31">
        <f>16870</f>
        <v>16870</v>
      </c>
      <c r="P128" s="32" t="s">
        <v>820</v>
      </c>
      <c r="Q128" s="31">
        <f>17170</f>
        <v>17170</v>
      </c>
      <c r="R128" s="32" t="s">
        <v>94</v>
      </c>
      <c r="S128" s="33">
        <f>17453.21</f>
        <v>17453.21</v>
      </c>
      <c r="T128" s="30">
        <f>354</f>
        <v>354</v>
      </c>
      <c r="U128" s="30" t="str">
        <f>"－"</f>
        <v>－</v>
      </c>
      <c r="V128" s="30">
        <f>6329070</f>
        <v>6329070</v>
      </c>
      <c r="W128" s="30" t="str">
        <f>"－"</f>
        <v>－</v>
      </c>
      <c r="X128" s="34">
        <f>14</f>
        <v>14</v>
      </c>
    </row>
    <row r="129" spans="1:24" x14ac:dyDescent="0.15">
      <c r="A129" s="25" t="s">
        <v>903</v>
      </c>
      <c r="B129" s="25" t="s">
        <v>418</v>
      </c>
      <c r="C129" s="25" t="s">
        <v>419</v>
      </c>
      <c r="D129" s="25" t="s">
        <v>420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100</v>
      </c>
      <c r="K129" s="31">
        <f>162</f>
        <v>162</v>
      </c>
      <c r="L129" s="32" t="s">
        <v>904</v>
      </c>
      <c r="M129" s="31">
        <f>177.5</f>
        <v>177.5</v>
      </c>
      <c r="N129" s="32" t="s">
        <v>911</v>
      </c>
      <c r="O129" s="31">
        <f>161.7</f>
        <v>161.69999999999999</v>
      </c>
      <c r="P129" s="32" t="s">
        <v>904</v>
      </c>
      <c r="Q129" s="31">
        <f>164.4</f>
        <v>164.4</v>
      </c>
      <c r="R129" s="32" t="s">
        <v>94</v>
      </c>
      <c r="S129" s="33">
        <f>169.56</f>
        <v>169.56</v>
      </c>
      <c r="T129" s="30">
        <f>83475900</f>
        <v>83475900</v>
      </c>
      <c r="U129" s="30">
        <f>18600</f>
        <v>18600</v>
      </c>
      <c r="V129" s="30">
        <f>14226365875</f>
        <v>14226365875</v>
      </c>
      <c r="W129" s="30">
        <f>3162405</f>
        <v>3162405</v>
      </c>
      <c r="X129" s="34">
        <f>18</f>
        <v>18</v>
      </c>
    </row>
    <row r="130" spans="1:24" x14ac:dyDescent="0.15">
      <c r="A130" s="25" t="s">
        <v>903</v>
      </c>
      <c r="B130" s="25" t="s">
        <v>421</v>
      </c>
      <c r="C130" s="25" t="s">
        <v>422</v>
      </c>
      <c r="D130" s="25" t="s">
        <v>423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27415</f>
        <v>27415</v>
      </c>
      <c r="L130" s="32" t="s">
        <v>904</v>
      </c>
      <c r="M130" s="31">
        <f>29000</f>
        <v>29000</v>
      </c>
      <c r="N130" s="32" t="s">
        <v>819</v>
      </c>
      <c r="O130" s="31">
        <f>27400</f>
        <v>27400</v>
      </c>
      <c r="P130" s="32" t="s">
        <v>904</v>
      </c>
      <c r="Q130" s="31">
        <f>27690</f>
        <v>27690</v>
      </c>
      <c r="R130" s="32" t="s">
        <v>94</v>
      </c>
      <c r="S130" s="33">
        <f>28063.33</f>
        <v>28063.33</v>
      </c>
      <c r="T130" s="30">
        <f>2438</f>
        <v>2438</v>
      </c>
      <c r="U130" s="30" t="str">
        <f>"－"</f>
        <v>－</v>
      </c>
      <c r="V130" s="30">
        <f>68728830</f>
        <v>68728830</v>
      </c>
      <c r="W130" s="30" t="str">
        <f>"－"</f>
        <v>－</v>
      </c>
      <c r="X130" s="34">
        <f>18</f>
        <v>18</v>
      </c>
    </row>
    <row r="131" spans="1:24" x14ac:dyDescent="0.15">
      <c r="A131" s="25" t="s">
        <v>903</v>
      </c>
      <c r="B131" s="25" t="s">
        <v>424</v>
      </c>
      <c r="C131" s="25" t="s">
        <v>425</v>
      </c>
      <c r="D131" s="25" t="s">
        <v>426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11480</f>
        <v>11480</v>
      </c>
      <c r="L131" s="32" t="s">
        <v>904</v>
      </c>
      <c r="M131" s="31">
        <f>12185</f>
        <v>12185</v>
      </c>
      <c r="N131" s="32" t="s">
        <v>695</v>
      </c>
      <c r="O131" s="31">
        <f>11285</f>
        <v>11285</v>
      </c>
      <c r="P131" s="32" t="s">
        <v>909</v>
      </c>
      <c r="Q131" s="31">
        <f>11815</f>
        <v>11815</v>
      </c>
      <c r="R131" s="32" t="s">
        <v>94</v>
      </c>
      <c r="S131" s="33">
        <f>11680</f>
        <v>11680</v>
      </c>
      <c r="T131" s="30">
        <f>15467</f>
        <v>15467</v>
      </c>
      <c r="U131" s="30">
        <f>2</f>
        <v>2</v>
      </c>
      <c r="V131" s="30">
        <f>181633870</f>
        <v>181633870</v>
      </c>
      <c r="W131" s="30">
        <f>24675</f>
        <v>24675</v>
      </c>
      <c r="X131" s="34">
        <f>18</f>
        <v>18</v>
      </c>
    </row>
    <row r="132" spans="1:24" x14ac:dyDescent="0.15">
      <c r="A132" s="25" t="s">
        <v>903</v>
      </c>
      <c r="B132" s="25" t="s">
        <v>427</v>
      </c>
      <c r="C132" s="25" t="s">
        <v>428</v>
      </c>
      <c r="D132" s="25" t="s">
        <v>429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21215</f>
        <v>21215</v>
      </c>
      <c r="L132" s="32" t="s">
        <v>904</v>
      </c>
      <c r="M132" s="31">
        <f>22145</f>
        <v>22145</v>
      </c>
      <c r="N132" s="32" t="s">
        <v>819</v>
      </c>
      <c r="O132" s="31">
        <f>20850</f>
        <v>20850</v>
      </c>
      <c r="P132" s="32" t="s">
        <v>815</v>
      </c>
      <c r="Q132" s="31">
        <f>21305</f>
        <v>21305</v>
      </c>
      <c r="R132" s="32" t="s">
        <v>94</v>
      </c>
      <c r="S132" s="33">
        <f>21556.67</f>
        <v>21556.67</v>
      </c>
      <c r="T132" s="30">
        <f>607</f>
        <v>607</v>
      </c>
      <c r="U132" s="30" t="str">
        <f>"－"</f>
        <v>－</v>
      </c>
      <c r="V132" s="30">
        <f>13121425</f>
        <v>13121425</v>
      </c>
      <c r="W132" s="30" t="str">
        <f>"－"</f>
        <v>－</v>
      </c>
      <c r="X132" s="34">
        <f>15</f>
        <v>15</v>
      </c>
    </row>
    <row r="133" spans="1:24" x14ac:dyDescent="0.15">
      <c r="A133" s="25" t="s">
        <v>903</v>
      </c>
      <c r="B133" s="25" t="s">
        <v>430</v>
      </c>
      <c r="C133" s="25" t="s">
        <v>431</v>
      </c>
      <c r="D133" s="25" t="s">
        <v>432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25870</f>
        <v>25870</v>
      </c>
      <c r="L133" s="32" t="s">
        <v>904</v>
      </c>
      <c r="M133" s="31">
        <f>26055</f>
        <v>26055</v>
      </c>
      <c r="N133" s="32" t="s">
        <v>909</v>
      </c>
      <c r="O133" s="31">
        <f>24550</f>
        <v>24550</v>
      </c>
      <c r="P133" s="32" t="s">
        <v>815</v>
      </c>
      <c r="Q133" s="31">
        <f>24980</f>
        <v>24980</v>
      </c>
      <c r="R133" s="32" t="s">
        <v>94</v>
      </c>
      <c r="S133" s="33">
        <f>25404.72</f>
        <v>25404.720000000001</v>
      </c>
      <c r="T133" s="30">
        <f>2411</f>
        <v>2411</v>
      </c>
      <c r="U133" s="30" t="str">
        <f>"－"</f>
        <v>－</v>
      </c>
      <c r="V133" s="30">
        <f>60962010</f>
        <v>60962010</v>
      </c>
      <c r="W133" s="30" t="str">
        <f>"－"</f>
        <v>－</v>
      </c>
      <c r="X133" s="34">
        <f>18</f>
        <v>18</v>
      </c>
    </row>
    <row r="134" spans="1:24" x14ac:dyDescent="0.15">
      <c r="A134" s="25" t="s">
        <v>903</v>
      </c>
      <c r="B134" s="25" t="s">
        <v>433</v>
      </c>
      <c r="C134" s="25" t="s">
        <v>434</v>
      </c>
      <c r="D134" s="25" t="s">
        <v>435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21275</f>
        <v>21275</v>
      </c>
      <c r="L134" s="32" t="s">
        <v>904</v>
      </c>
      <c r="M134" s="31">
        <f>22595</f>
        <v>22595</v>
      </c>
      <c r="N134" s="32" t="s">
        <v>815</v>
      </c>
      <c r="O134" s="31">
        <f>21065</f>
        <v>21065</v>
      </c>
      <c r="P134" s="32" t="s">
        <v>904</v>
      </c>
      <c r="Q134" s="31">
        <f>22260</f>
        <v>22260</v>
      </c>
      <c r="R134" s="32" t="s">
        <v>94</v>
      </c>
      <c r="S134" s="33">
        <f>22034.44</f>
        <v>22034.44</v>
      </c>
      <c r="T134" s="30">
        <f>1558</f>
        <v>1558</v>
      </c>
      <c r="U134" s="30" t="str">
        <f>"－"</f>
        <v>－</v>
      </c>
      <c r="V134" s="30">
        <f>34234960</f>
        <v>34234960</v>
      </c>
      <c r="W134" s="30" t="str">
        <f>"－"</f>
        <v>－</v>
      </c>
      <c r="X134" s="34">
        <f>18</f>
        <v>18</v>
      </c>
    </row>
    <row r="135" spans="1:24" x14ac:dyDescent="0.15">
      <c r="A135" s="25" t="s">
        <v>903</v>
      </c>
      <c r="B135" s="25" t="s">
        <v>436</v>
      </c>
      <c r="C135" s="25" t="s">
        <v>437</v>
      </c>
      <c r="D135" s="25" t="s">
        <v>438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24985</f>
        <v>24985</v>
      </c>
      <c r="L135" s="32" t="s">
        <v>904</v>
      </c>
      <c r="M135" s="31">
        <f>25870</f>
        <v>25870</v>
      </c>
      <c r="N135" s="32" t="s">
        <v>911</v>
      </c>
      <c r="O135" s="31">
        <f>23555</f>
        <v>23555</v>
      </c>
      <c r="P135" s="32" t="s">
        <v>820</v>
      </c>
      <c r="Q135" s="31">
        <f>23895</f>
        <v>23895</v>
      </c>
      <c r="R135" s="32" t="s">
        <v>94</v>
      </c>
      <c r="S135" s="33">
        <f>24736.39</f>
        <v>24736.39</v>
      </c>
      <c r="T135" s="30">
        <f>2448</f>
        <v>2448</v>
      </c>
      <c r="U135" s="30" t="str">
        <f>"－"</f>
        <v>－</v>
      </c>
      <c r="V135" s="30">
        <f>60748100</f>
        <v>60748100</v>
      </c>
      <c r="W135" s="30" t="str">
        <f>"－"</f>
        <v>－</v>
      </c>
      <c r="X135" s="34">
        <f>18</f>
        <v>18</v>
      </c>
    </row>
    <row r="136" spans="1:24" x14ac:dyDescent="0.15">
      <c r="A136" s="25" t="s">
        <v>903</v>
      </c>
      <c r="B136" s="25" t="s">
        <v>439</v>
      </c>
      <c r="C136" s="25" t="s">
        <v>440</v>
      </c>
      <c r="D136" s="25" t="s">
        <v>441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16180</f>
        <v>16180</v>
      </c>
      <c r="L136" s="32" t="s">
        <v>904</v>
      </c>
      <c r="M136" s="31">
        <f>17640</f>
        <v>17640</v>
      </c>
      <c r="N136" s="32" t="s">
        <v>911</v>
      </c>
      <c r="O136" s="31">
        <f>15950</f>
        <v>15950</v>
      </c>
      <c r="P136" s="32" t="s">
        <v>904</v>
      </c>
      <c r="Q136" s="31">
        <f>17485</f>
        <v>17485</v>
      </c>
      <c r="R136" s="32" t="s">
        <v>94</v>
      </c>
      <c r="S136" s="33">
        <f>16964.44</f>
        <v>16964.439999999999</v>
      </c>
      <c r="T136" s="30">
        <f>3013</f>
        <v>3013</v>
      </c>
      <c r="U136" s="30">
        <f>1</f>
        <v>1</v>
      </c>
      <c r="V136" s="30">
        <f>51281135</f>
        <v>51281135</v>
      </c>
      <c r="W136" s="30">
        <f>18005</f>
        <v>18005</v>
      </c>
      <c r="X136" s="34">
        <f>18</f>
        <v>18</v>
      </c>
    </row>
    <row r="137" spans="1:24" x14ac:dyDescent="0.15">
      <c r="A137" s="25" t="s">
        <v>903</v>
      </c>
      <c r="B137" s="25" t="s">
        <v>442</v>
      </c>
      <c r="C137" s="25" t="s">
        <v>443</v>
      </c>
      <c r="D137" s="25" t="s">
        <v>444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38920</f>
        <v>38920</v>
      </c>
      <c r="L137" s="32" t="s">
        <v>904</v>
      </c>
      <c r="M137" s="31">
        <f>39150</f>
        <v>39150</v>
      </c>
      <c r="N137" s="32" t="s">
        <v>905</v>
      </c>
      <c r="O137" s="31">
        <f>35340</f>
        <v>35340</v>
      </c>
      <c r="P137" s="32" t="s">
        <v>820</v>
      </c>
      <c r="Q137" s="31">
        <f>37050</f>
        <v>37050</v>
      </c>
      <c r="R137" s="32" t="s">
        <v>94</v>
      </c>
      <c r="S137" s="33">
        <f>37722.35</f>
        <v>37722.35</v>
      </c>
      <c r="T137" s="30">
        <f>769</f>
        <v>769</v>
      </c>
      <c r="U137" s="30" t="str">
        <f>"－"</f>
        <v>－</v>
      </c>
      <c r="V137" s="30">
        <f>28974190</f>
        <v>28974190</v>
      </c>
      <c r="W137" s="30" t="str">
        <f>"－"</f>
        <v>－</v>
      </c>
      <c r="X137" s="34">
        <f>17</f>
        <v>17</v>
      </c>
    </row>
    <row r="138" spans="1:24" x14ac:dyDescent="0.15">
      <c r="A138" s="25" t="s">
        <v>903</v>
      </c>
      <c r="B138" s="25" t="s">
        <v>445</v>
      </c>
      <c r="C138" s="25" t="s">
        <v>446</v>
      </c>
      <c r="D138" s="25" t="s">
        <v>447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28820</f>
        <v>28820</v>
      </c>
      <c r="L138" s="32" t="s">
        <v>904</v>
      </c>
      <c r="M138" s="31">
        <f>29180</f>
        <v>29180</v>
      </c>
      <c r="N138" s="32" t="s">
        <v>909</v>
      </c>
      <c r="O138" s="31">
        <f>26225</f>
        <v>26225</v>
      </c>
      <c r="P138" s="32" t="s">
        <v>820</v>
      </c>
      <c r="Q138" s="31">
        <f>27100</f>
        <v>27100</v>
      </c>
      <c r="R138" s="32" t="s">
        <v>94</v>
      </c>
      <c r="S138" s="33">
        <f>27958.33</f>
        <v>27958.33</v>
      </c>
      <c r="T138" s="30">
        <f>3567</f>
        <v>3567</v>
      </c>
      <c r="U138" s="30" t="str">
        <f>"－"</f>
        <v>－</v>
      </c>
      <c r="V138" s="30">
        <f>98664060</f>
        <v>98664060</v>
      </c>
      <c r="W138" s="30" t="str">
        <f>"－"</f>
        <v>－</v>
      </c>
      <c r="X138" s="34">
        <f>18</f>
        <v>18</v>
      </c>
    </row>
    <row r="139" spans="1:24" x14ac:dyDescent="0.15">
      <c r="A139" s="25" t="s">
        <v>903</v>
      </c>
      <c r="B139" s="25" t="s">
        <v>448</v>
      </c>
      <c r="C139" s="25" t="s">
        <v>449</v>
      </c>
      <c r="D139" s="25" t="s">
        <v>450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27525</f>
        <v>27525</v>
      </c>
      <c r="L139" s="32" t="s">
        <v>904</v>
      </c>
      <c r="M139" s="31">
        <f>28670</f>
        <v>28670</v>
      </c>
      <c r="N139" s="32" t="s">
        <v>905</v>
      </c>
      <c r="O139" s="31">
        <f>26500</f>
        <v>26500</v>
      </c>
      <c r="P139" s="32" t="s">
        <v>820</v>
      </c>
      <c r="Q139" s="31">
        <f>27350</f>
        <v>27350</v>
      </c>
      <c r="R139" s="32" t="s">
        <v>94</v>
      </c>
      <c r="S139" s="33">
        <f>27601.94</f>
        <v>27601.94</v>
      </c>
      <c r="T139" s="30">
        <f>1269</f>
        <v>1269</v>
      </c>
      <c r="U139" s="30" t="str">
        <f>"－"</f>
        <v>－</v>
      </c>
      <c r="V139" s="30">
        <f>34726785</f>
        <v>34726785</v>
      </c>
      <c r="W139" s="30" t="str">
        <f>"－"</f>
        <v>－</v>
      </c>
      <c r="X139" s="34">
        <f>18</f>
        <v>18</v>
      </c>
    </row>
    <row r="140" spans="1:24" x14ac:dyDescent="0.15">
      <c r="A140" s="25" t="s">
        <v>903</v>
      </c>
      <c r="B140" s="25" t="s">
        <v>451</v>
      </c>
      <c r="C140" s="25" t="s">
        <v>452</v>
      </c>
      <c r="D140" s="25" t="s">
        <v>453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5521</f>
        <v>5521</v>
      </c>
      <c r="L140" s="32" t="s">
        <v>904</v>
      </c>
      <c r="M140" s="31">
        <f>5829</f>
        <v>5829</v>
      </c>
      <c r="N140" s="32" t="s">
        <v>815</v>
      </c>
      <c r="O140" s="31">
        <f>5438</f>
        <v>5438</v>
      </c>
      <c r="P140" s="32" t="s">
        <v>904</v>
      </c>
      <c r="Q140" s="31">
        <f>5735</f>
        <v>5735</v>
      </c>
      <c r="R140" s="32" t="s">
        <v>94</v>
      </c>
      <c r="S140" s="33">
        <f>5652.83</f>
        <v>5652.83</v>
      </c>
      <c r="T140" s="30">
        <f>10344</f>
        <v>10344</v>
      </c>
      <c r="U140" s="30">
        <f>3</f>
        <v>3</v>
      </c>
      <c r="V140" s="30">
        <f>58586955</f>
        <v>58586955</v>
      </c>
      <c r="W140" s="30">
        <f>18159</f>
        <v>18159</v>
      </c>
      <c r="X140" s="34">
        <f>18</f>
        <v>18</v>
      </c>
    </row>
    <row r="141" spans="1:24" x14ac:dyDescent="0.15">
      <c r="A141" s="25" t="s">
        <v>903</v>
      </c>
      <c r="B141" s="25" t="s">
        <v>454</v>
      </c>
      <c r="C141" s="25" t="s">
        <v>455</v>
      </c>
      <c r="D141" s="25" t="s">
        <v>456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14195</f>
        <v>14195</v>
      </c>
      <c r="L141" s="32" t="s">
        <v>904</v>
      </c>
      <c r="M141" s="31">
        <f>15460</f>
        <v>15460</v>
      </c>
      <c r="N141" s="32" t="s">
        <v>819</v>
      </c>
      <c r="O141" s="31">
        <f>14175</f>
        <v>14175</v>
      </c>
      <c r="P141" s="32" t="s">
        <v>904</v>
      </c>
      <c r="Q141" s="31">
        <f>14800</f>
        <v>14800</v>
      </c>
      <c r="R141" s="32" t="s">
        <v>94</v>
      </c>
      <c r="S141" s="33">
        <f>14829.72</f>
        <v>14829.72</v>
      </c>
      <c r="T141" s="30">
        <f>16916</f>
        <v>16916</v>
      </c>
      <c r="U141" s="30">
        <f>9</f>
        <v>9</v>
      </c>
      <c r="V141" s="30">
        <f>251868540</f>
        <v>251868540</v>
      </c>
      <c r="W141" s="30">
        <f>132945</f>
        <v>132945</v>
      </c>
      <c r="X141" s="34">
        <f>18</f>
        <v>18</v>
      </c>
    </row>
    <row r="142" spans="1:24" x14ac:dyDescent="0.15">
      <c r="A142" s="25" t="s">
        <v>903</v>
      </c>
      <c r="B142" s="25" t="s">
        <v>457</v>
      </c>
      <c r="C142" s="25" t="s">
        <v>458</v>
      </c>
      <c r="D142" s="25" t="s">
        <v>459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42260</f>
        <v>42260</v>
      </c>
      <c r="L142" s="32" t="s">
        <v>904</v>
      </c>
      <c r="M142" s="31">
        <f>44560</f>
        <v>44560</v>
      </c>
      <c r="N142" s="32" t="s">
        <v>814</v>
      </c>
      <c r="O142" s="31">
        <f>41830</f>
        <v>41830</v>
      </c>
      <c r="P142" s="32" t="s">
        <v>904</v>
      </c>
      <c r="Q142" s="31">
        <f>43300</f>
        <v>43300</v>
      </c>
      <c r="R142" s="32" t="s">
        <v>94</v>
      </c>
      <c r="S142" s="33">
        <f>43444.44</f>
        <v>43444.44</v>
      </c>
      <c r="T142" s="30">
        <f>5623</f>
        <v>5623</v>
      </c>
      <c r="U142" s="30" t="str">
        <f>"－"</f>
        <v>－</v>
      </c>
      <c r="V142" s="30">
        <f>243869240</f>
        <v>243869240</v>
      </c>
      <c r="W142" s="30" t="str">
        <f>"－"</f>
        <v>－</v>
      </c>
      <c r="X142" s="34">
        <f>18</f>
        <v>18</v>
      </c>
    </row>
    <row r="143" spans="1:24" x14ac:dyDescent="0.15">
      <c r="A143" s="25" t="s">
        <v>903</v>
      </c>
      <c r="B143" s="25" t="s">
        <v>460</v>
      </c>
      <c r="C143" s="25" t="s">
        <v>461</v>
      </c>
      <c r="D143" s="25" t="s">
        <v>462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21300</f>
        <v>21300</v>
      </c>
      <c r="L143" s="32" t="s">
        <v>904</v>
      </c>
      <c r="M143" s="31">
        <f>22090</f>
        <v>22090</v>
      </c>
      <c r="N143" s="32" t="s">
        <v>906</v>
      </c>
      <c r="O143" s="31">
        <f>21105</f>
        <v>21105</v>
      </c>
      <c r="P143" s="32" t="s">
        <v>70</v>
      </c>
      <c r="Q143" s="31">
        <f>21325</f>
        <v>21325</v>
      </c>
      <c r="R143" s="32" t="s">
        <v>94</v>
      </c>
      <c r="S143" s="33">
        <f>21437.22</f>
        <v>21437.22</v>
      </c>
      <c r="T143" s="30">
        <f>393</f>
        <v>393</v>
      </c>
      <c r="U143" s="30" t="str">
        <f>"－"</f>
        <v>－</v>
      </c>
      <c r="V143" s="30">
        <f>8446360</f>
        <v>8446360</v>
      </c>
      <c r="W143" s="30" t="str">
        <f>"－"</f>
        <v>－</v>
      </c>
      <c r="X143" s="34">
        <f>18</f>
        <v>18</v>
      </c>
    </row>
    <row r="144" spans="1:24" x14ac:dyDescent="0.15">
      <c r="A144" s="25" t="s">
        <v>903</v>
      </c>
      <c r="B144" s="25" t="s">
        <v>463</v>
      </c>
      <c r="C144" s="25" t="s">
        <v>464</v>
      </c>
      <c r="D144" s="25" t="s">
        <v>465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8510</f>
        <v>8510</v>
      </c>
      <c r="L144" s="32" t="s">
        <v>904</v>
      </c>
      <c r="M144" s="31">
        <f>9292</f>
        <v>9292</v>
      </c>
      <c r="N144" s="32" t="s">
        <v>911</v>
      </c>
      <c r="O144" s="31">
        <f>8471</f>
        <v>8471</v>
      </c>
      <c r="P144" s="32" t="s">
        <v>904</v>
      </c>
      <c r="Q144" s="31">
        <f>8600</f>
        <v>8600</v>
      </c>
      <c r="R144" s="32" t="s">
        <v>94</v>
      </c>
      <c r="S144" s="33">
        <f>8887.28</f>
        <v>8887.2800000000007</v>
      </c>
      <c r="T144" s="30">
        <f>19328</f>
        <v>19328</v>
      </c>
      <c r="U144" s="30">
        <f>1</f>
        <v>1</v>
      </c>
      <c r="V144" s="30">
        <f>172363878</f>
        <v>172363878</v>
      </c>
      <c r="W144" s="30">
        <f>8537</f>
        <v>8537</v>
      </c>
      <c r="X144" s="34">
        <f>18</f>
        <v>18</v>
      </c>
    </row>
    <row r="145" spans="1:24" x14ac:dyDescent="0.15">
      <c r="A145" s="25" t="s">
        <v>903</v>
      </c>
      <c r="B145" s="25" t="s">
        <v>466</v>
      </c>
      <c r="C145" s="25" t="s">
        <v>467</v>
      </c>
      <c r="D145" s="25" t="s">
        <v>468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14555</f>
        <v>14555</v>
      </c>
      <c r="L145" s="32" t="s">
        <v>904</v>
      </c>
      <c r="M145" s="31">
        <f>15400</f>
        <v>15400</v>
      </c>
      <c r="N145" s="32" t="s">
        <v>911</v>
      </c>
      <c r="O145" s="31">
        <f>13875</f>
        <v>13875</v>
      </c>
      <c r="P145" s="32" t="s">
        <v>815</v>
      </c>
      <c r="Q145" s="31">
        <f>14145</f>
        <v>14145</v>
      </c>
      <c r="R145" s="32" t="s">
        <v>94</v>
      </c>
      <c r="S145" s="33">
        <f>14777.22</f>
        <v>14777.22</v>
      </c>
      <c r="T145" s="30">
        <f>5354</f>
        <v>5354</v>
      </c>
      <c r="U145" s="30" t="str">
        <f>"－"</f>
        <v>－</v>
      </c>
      <c r="V145" s="30">
        <f>78524155</f>
        <v>78524155</v>
      </c>
      <c r="W145" s="30" t="str">
        <f>"－"</f>
        <v>－</v>
      </c>
      <c r="X145" s="34">
        <f>18</f>
        <v>18</v>
      </c>
    </row>
    <row r="146" spans="1:24" x14ac:dyDescent="0.15">
      <c r="A146" s="25" t="s">
        <v>903</v>
      </c>
      <c r="B146" s="25" t="s">
        <v>469</v>
      </c>
      <c r="C146" s="25" t="s">
        <v>470</v>
      </c>
      <c r="D146" s="25" t="s">
        <v>471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</v>
      </c>
      <c r="K146" s="31">
        <f>28200</f>
        <v>28200</v>
      </c>
      <c r="L146" s="32" t="s">
        <v>904</v>
      </c>
      <c r="M146" s="31">
        <f>29460</f>
        <v>29460</v>
      </c>
      <c r="N146" s="32" t="s">
        <v>906</v>
      </c>
      <c r="O146" s="31">
        <f>27650</f>
        <v>27650</v>
      </c>
      <c r="P146" s="32" t="s">
        <v>904</v>
      </c>
      <c r="Q146" s="31">
        <f>28365</f>
        <v>28365</v>
      </c>
      <c r="R146" s="32" t="s">
        <v>94</v>
      </c>
      <c r="S146" s="33">
        <f>28593.89</f>
        <v>28593.89</v>
      </c>
      <c r="T146" s="30">
        <f>1120</f>
        <v>1120</v>
      </c>
      <c r="U146" s="30" t="str">
        <f>"－"</f>
        <v>－</v>
      </c>
      <c r="V146" s="30">
        <f>32323765</f>
        <v>32323765</v>
      </c>
      <c r="W146" s="30" t="str">
        <f>"－"</f>
        <v>－</v>
      </c>
      <c r="X146" s="34">
        <f>18</f>
        <v>18</v>
      </c>
    </row>
    <row r="147" spans="1:24" x14ac:dyDescent="0.15">
      <c r="A147" s="25" t="s">
        <v>903</v>
      </c>
      <c r="B147" s="25" t="s">
        <v>472</v>
      </c>
      <c r="C147" s="25" t="s">
        <v>473</v>
      </c>
      <c r="D147" s="25" t="s">
        <v>474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1147.5</f>
        <v>1147.5</v>
      </c>
      <c r="L147" s="32" t="s">
        <v>904</v>
      </c>
      <c r="M147" s="31">
        <f>1197</f>
        <v>1197</v>
      </c>
      <c r="N147" s="32" t="s">
        <v>911</v>
      </c>
      <c r="O147" s="31">
        <f>1135.5</f>
        <v>1135.5</v>
      </c>
      <c r="P147" s="32" t="s">
        <v>815</v>
      </c>
      <c r="Q147" s="31">
        <f>1151.5</f>
        <v>1151.5</v>
      </c>
      <c r="R147" s="32" t="s">
        <v>94</v>
      </c>
      <c r="S147" s="33">
        <f>1173.28</f>
        <v>1173.28</v>
      </c>
      <c r="T147" s="30">
        <f>365920</f>
        <v>365920</v>
      </c>
      <c r="U147" s="30">
        <f>30</f>
        <v>30</v>
      </c>
      <c r="V147" s="30">
        <f>430130260</f>
        <v>430130260</v>
      </c>
      <c r="W147" s="30">
        <f>34470</f>
        <v>34470</v>
      </c>
      <c r="X147" s="34">
        <f>18</f>
        <v>18</v>
      </c>
    </row>
    <row r="148" spans="1:24" x14ac:dyDescent="0.15">
      <c r="A148" s="25" t="s">
        <v>903</v>
      </c>
      <c r="B148" s="25" t="s">
        <v>475</v>
      </c>
      <c r="C148" s="25" t="s">
        <v>476</v>
      </c>
      <c r="D148" s="25" t="s">
        <v>477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2325</f>
        <v>2325</v>
      </c>
      <c r="L148" s="32" t="s">
        <v>904</v>
      </c>
      <c r="M148" s="31">
        <f>2385</f>
        <v>2385</v>
      </c>
      <c r="N148" s="32" t="s">
        <v>905</v>
      </c>
      <c r="O148" s="31">
        <f>2232</f>
        <v>2232</v>
      </c>
      <c r="P148" s="32" t="s">
        <v>820</v>
      </c>
      <c r="Q148" s="31">
        <f>2254</f>
        <v>2254</v>
      </c>
      <c r="R148" s="32" t="s">
        <v>815</v>
      </c>
      <c r="S148" s="33">
        <f>2316.56</f>
        <v>2316.56</v>
      </c>
      <c r="T148" s="30">
        <f>5590</f>
        <v>5590</v>
      </c>
      <c r="U148" s="30" t="str">
        <f>"－"</f>
        <v>－</v>
      </c>
      <c r="V148" s="30">
        <f>12939905</f>
        <v>12939905</v>
      </c>
      <c r="W148" s="30" t="str">
        <f>"－"</f>
        <v>－</v>
      </c>
      <c r="X148" s="34">
        <f>9</f>
        <v>9</v>
      </c>
    </row>
    <row r="149" spans="1:24" x14ac:dyDescent="0.15">
      <c r="A149" s="25" t="s">
        <v>903</v>
      </c>
      <c r="B149" s="25" t="s">
        <v>478</v>
      </c>
      <c r="C149" s="25" t="s">
        <v>479</v>
      </c>
      <c r="D149" s="25" t="s">
        <v>480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2485</f>
        <v>2485</v>
      </c>
      <c r="L149" s="32" t="s">
        <v>904</v>
      </c>
      <c r="M149" s="31">
        <f>2539</f>
        <v>2539</v>
      </c>
      <c r="N149" s="32" t="s">
        <v>905</v>
      </c>
      <c r="O149" s="31">
        <f>2367</f>
        <v>2367</v>
      </c>
      <c r="P149" s="32" t="s">
        <v>820</v>
      </c>
      <c r="Q149" s="31">
        <f>2403</f>
        <v>2403</v>
      </c>
      <c r="R149" s="32" t="s">
        <v>815</v>
      </c>
      <c r="S149" s="33">
        <f>2466.9</f>
        <v>2466.9</v>
      </c>
      <c r="T149" s="30">
        <f>7700</f>
        <v>7700</v>
      </c>
      <c r="U149" s="30">
        <f>40</f>
        <v>40</v>
      </c>
      <c r="V149" s="30">
        <f>19070095</f>
        <v>19070095</v>
      </c>
      <c r="W149" s="30">
        <f>100365</f>
        <v>100365</v>
      </c>
      <c r="X149" s="34">
        <f>15</f>
        <v>15</v>
      </c>
    </row>
    <row r="150" spans="1:24" x14ac:dyDescent="0.15">
      <c r="A150" s="25" t="s">
        <v>903</v>
      </c>
      <c r="B150" s="25" t="s">
        <v>481</v>
      </c>
      <c r="C150" s="25" t="s">
        <v>482</v>
      </c>
      <c r="D150" s="25" t="s">
        <v>483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1507.5</f>
        <v>1507.5</v>
      </c>
      <c r="L150" s="32" t="s">
        <v>904</v>
      </c>
      <c r="M150" s="31">
        <f>1559</f>
        <v>1559</v>
      </c>
      <c r="N150" s="32" t="s">
        <v>905</v>
      </c>
      <c r="O150" s="31">
        <f>1456</f>
        <v>1456</v>
      </c>
      <c r="P150" s="32" t="s">
        <v>820</v>
      </c>
      <c r="Q150" s="31">
        <f>1475.5</f>
        <v>1475.5</v>
      </c>
      <c r="R150" s="32" t="s">
        <v>94</v>
      </c>
      <c r="S150" s="33">
        <f>1512.35</f>
        <v>1512.35</v>
      </c>
      <c r="T150" s="30">
        <f>1210</f>
        <v>1210</v>
      </c>
      <c r="U150" s="30" t="str">
        <f>"－"</f>
        <v>－</v>
      </c>
      <c r="V150" s="30">
        <f>1844190</f>
        <v>1844190</v>
      </c>
      <c r="W150" s="30" t="str">
        <f>"－"</f>
        <v>－</v>
      </c>
      <c r="X150" s="34">
        <f>17</f>
        <v>17</v>
      </c>
    </row>
    <row r="151" spans="1:24" x14ac:dyDescent="0.15">
      <c r="A151" s="25" t="s">
        <v>903</v>
      </c>
      <c r="B151" s="25" t="s">
        <v>484</v>
      </c>
      <c r="C151" s="25" t="s">
        <v>485</v>
      </c>
      <c r="D151" s="25" t="s">
        <v>486</v>
      </c>
      <c r="E151" s="26" t="s">
        <v>913</v>
      </c>
      <c r="F151" s="27" t="s">
        <v>914</v>
      </c>
      <c r="G151" s="28" t="s">
        <v>45</v>
      </c>
      <c r="H151" s="29"/>
      <c r="I151" s="29" t="s">
        <v>46</v>
      </c>
      <c r="J151" s="30">
        <v>10</v>
      </c>
      <c r="K151" s="31">
        <f>3730</f>
        <v>3730</v>
      </c>
      <c r="L151" s="32" t="s">
        <v>904</v>
      </c>
      <c r="M151" s="31">
        <f>3775</f>
        <v>3775</v>
      </c>
      <c r="N151" s="32" t="s">
        <v>909</v>
      </c>
      <c r="O151" s="31">
        <f>3710</f>
        <v>3710</v>
      </c>
      <c r="P151" s="32" t="s">
        <v>904</v>
      </c>
      <c r="Q151" s="31">
        <f>3740</f>
        <v>3740</v>
      </c>
      <c r="R151" s="32" t="s">
        <v>70</v>
      </c>
      <c r="S151" s="33">
        <f>3745</f>
        <v>3745</v>
      </c>
      <c r="T151" s="30">
        <f>1340230</f>
        <v>1340230</v>
      </c>
      <c r="U151" s="30">
        <f>13</f>
        <v>13</v>
      </c>
      <c r="V151" s="30">
        <f>5013863185</f>
        <v>5013863185</v>
      </c>
      <c r="W151" s="30">
        <f>48980</f>
        <v>48980</v>
      </c>
      <c r="X151" s="34">
        <f>5</f>
        <v>5</v>
      </c>
    </row>
    <row r="152" spans="1:24" x14ac:dyDescent="0.15">
      <c r="A152" s="25" t="s">
        <v>903</v>
      </c>
      <c r="B152" s="25" t="s">
        <v>484</v>
      </c>
      <c r="C152" s="25" t="s">
        <v>485</v>
      </c>
      <c r="D152" s="25" t="s">
        <v>486</v>
      </c>
      <c r="E152" s="26" t="s">
        <v>913</v>
      </c>
      <c r="F152" s="27" t="s">
        <v>914</v>
      </c>
      <c r="G152" s="28" t="s">
        <v>45</v>
      </c>
      <c r="H152" s="29"/>
      <c r="I152" s="29" t="s">
        <v>46</v>
      </c>
      <c r="J152" s="30">
        <v>10</v>
      </c>
      <c r="K152" s="31">
        <f>370.5</f>
        <v>370.5</v>
      </c>
      <c r="L152" s="32" t="s">
        <v>912</v>
      </c>
      <c r="M152" s="31">
        <f>380.2</f>
        <v>380.2</v>
      </c>
      <c r="N152" s="32" t="s">
        <v>905</v>
      </c>
      <c r="O152" s="31">
        <f>339</f>
        <v>339</v>
      </c>
      <c r="P152" s="32" t="s">
        <v>820</v>
      </c>
      <c r="Q152" s="31">
        <f>355.9</f>
        <v>355.9</v>
      </c>
      <c r="R152" s="32" t="s">
        <v>94</v>
      </c>
      <c r="S152" s="33">
        <f>363.11</f>
        <v>363.11</v>
      </c>
      <c r="T152" s="30">
        <f>49905410</f>
        <v>49905410</v>
      </c>
      <c r="U152" s="30">
        <f>500520</f>
        <v>500520</v>
      </c>
      <c r="V152" s="30">
        <f>18008620281</f>
        <v>18008620281</v>
      </c>
      <c r="W152" s="30">
        <f>170636246</f>
        <v>170636246</v>
      </c>
      <c r="X152" s="34">
        <f>13</f>
        <v>13</v>
      </c>
    </row>
    <row r="153" spans="1:24" x14ac:dyDescent="0.15">
      <c r="A153" s="25" t="s">
        <v>903</v>
      </c>
      <c r="B153" s="25" t="s">
        <v>487</v>
      </c>
      <c r="C153" s="25" t="s">
        <v>488</v>
      </c>
      <c r="D153" s="25" t="s">
        <v>489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2661</f>
        <v>2661</v>
      </c>
      <c r="L153" s="32" t="s">
        <v>904</v>
      </c>
      <c r="M153" s="31">
        <f>2665</f>
        <v>2665</v>
      </c>
      <c r="N153" s="32" t="s">
        <v>904</v>
      </c>
      <c r="O153" s="31">
        <f>2616</f>
        <v>2616</v>
      </c>
      <c r="P153" s="32" t="s">
        <v>819</v>
      </c>
      <c r="Q153" s="31">
        <f>2649</f>
        <v>2649</v>
      </c>
      <c r="R153" s="32" t="s">
        <v>94</v>
      </c>
      <c r="S153" s="33">
        <f>2636.94</f>
        <v>2636.94</v>
      </c>
      <c r="T153" s="30">
        <f>359855</f>
        <v>359855</v>
      </c>
      <c r="U153" s="30">
        <f>188961</f>
        <v>188961</v>
      </c>
      <c r="V153" s="30">
        <f>946395252</f>
        <v>946395252</v>
      </c>
      <c r="W153" s="30">
        <f>497428800</f>
        <v>497428800</v>
      </c>
      <c r="X153" s="34">
        <f>18</f>
        <v>18</v>
      </c>
    </row>
    <row r="154" spans="1:24" x14ac:dyDescent="0.15">
      <c r="A154" s="25" t="s">
        <v>903</v>
      </c>
      <c r="B154" s="25" t="s">
        <v>490</v>
      </c>
      <c r="C154" s="25" t="s">
        <v>491</v>
      </c>
      <c r="D154" s="25" t="s">
        <v>492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3270</f>
        <v>3270</v>
      </c>
      <c r="L154" s="32" t="s">
        <v>904</v>
      </c>
      <c r="M154" s="31">
        <f>3335</f>
        <v>3335</v>
      </c>
      <c r="N154" s="32" t="s">
        <v>905</v>
      </c>
      <c r="O154" s="31">
        <f>2987</f>
        <v>2987</v>
      </c>
      <c r="P154" s="32" t="s">
        <v>820</v>
      </c>
      <c r="Q154" s="31">
        <f>3110</f>
        <v>3110</v>
      </c>
      <c r="R154" s="32" t="s">
        <v>94</v>
      </c>
      <c r="S154" s="33">
        <f>3214.67</f>
        <v>3214.67</v>
      </c>
      <c r="T154" s="30">
        <f>102052</f>
        <v>102052</v>
      </c>
      <c r="U154" s="30">
        <f>1512</f>
        <v>1512</v>
      </c>
      <c r="V154" s="30">
        <f>321939764</f>
        <v>321939764</v>
      </c>
      <c r="W154" s="30">
        <f>4970667</f>
        <v>4970667</v>
      </c>
      <c r="X154" s="34">
        <f>18</f>
        <v>18</v>
      </c>
    </row>
    <row r="155" spans="1:24" x14ac:dyDescent="0.15">
      <c r="A155" s="25" t="s">
        <v>903</v>
      </c>
      <c r="B155" s="25" t="s">
        <v>493</v>
      </c>
      <c r="C155" s="25" t="s">
        <v>494</v>
      </c>
      <c r="D155" s="25" t="s">
        <v>495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2341</f>
        <v>2341</v>
      </c>
      <c r="L155" s="32" t="s">
        <v>904</v>
      </c>
      <c r="M155" s="31">
        <f>2358</f>
        <v>2358</v>
      </c>
      <c r="N155" s="32" t="s">
        <v>904</v>
      </c>
      <c r="O155" s="31">
        <f>2162</f>
        <v>2162</v>
      </c>
      <c r="P155" s="32" t="s">
        <v>94</v>
      </c>
      <c r="Q155" s="31">
        <f>2186</f>
        <v>2186</v>
      </c>
      <c r="R155" s="32" t="s">
        <v>94</v>
      </c>
      <c r="S155" s="33">
        <f>2298.11</f>
        <v>2298.11</v>
      </c>
      <c r="T155" s="30">
        <f>54852</f>
        <v>54852</v>
      </c>
      <c r="U155" s="30">
        <f>2156</f>
        <v>2156</v>
      </c>
      <c r="V155" s="30">
        <f>124617373</f>
        <v>124617373</v>
      </c>
      <c r="W155" s="30">
        <f>5022776</f>
        <v>5022776</v>
      </c>
      <c r="X155" s="34">
        <f>18</f>
        <v>18</v>
      </c>
    </row>
    <row r="156" spans="1:24" x14ac:dyDescent="0.15">
      <c r="A156" s="25" t="s">
        <v>903</v>
      </c>
      <c r="B156" s="25" t="s">
        <v>496</v>
      </c>
      <c r="C156" s="25" t="s">
        <v>497</v>
      </c>
      <c r="D156" s="25" t="s">
        <v>498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2726</f>
        <v>2726</v>
      </c>
      <c r="L156" s="32" t="s">
        <v>904</v>
      </c>
      <c r="M156" s="31">
        <f>2729</f>
        <v>2729</v>
      </c>
      <c r="N156" s="32" t="s">
        <v>907</v>
      </c>
      <c r="O156" s="31">
        <f>2473</f>
        <v>2473</v>
      </c>
      <c r="P156" s="32" t="s">
        <v>820</v>
      </c>
      <c r="Q156" s="31">
        <f>2596</f>
        <v>2596</v>
      </c>
      <c r="R156" s="32" t="s">
        <v>94</v>
      </c>
      <c r="S156" s="33">
        <f>2628.72</f>
        <v>2628.72</v>
      </c>
      <c r="T156" s="30">
        <f>214374</f>
        <v>214374</v>
      </c>
      <c r="U156" s="30">
        <f>13</f>
        <v>13</v>
      </c>
      <c r="V156" s="30">
        <f>562173595</f>
        <v>562173595</v>
      </c>
      <c r="W156" s="30">
        <f>34156</f>
        <v>34156</v>
      </c>
      <c r="X156" s="34">
        <f>18</f>
        <v>18</v>
      </c>
    </row>
    <row r="157" spans="1:24" x14ac:dyDescent="0.15">
      <c r="A157" s="25" t="s">
        <v>903</v>
      </c>
      <c r="B157" s="25" t="s">
        <v>499</v>
      </c>
      <c r="C157" s="25" t="s">
        <v>500</v>
      </c>
      <c r="D157" s="25" t="s">
        <v>501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11000</f>
        <v>11000</v>
      </c>
      <c r="L157" s="32" t="s">
        <v>904</v>
      </c>
      <c r="M157" s="31">
        <f>11120</f>
        <v>11120</v>
      </c>
      <c r="N157" s="32" t="s">
        <v>811</v>
      </c>
      <c r="O157" s="31">
        <f>10340</f>
        <v>10340</v>
      </c>
      <c r="P157" s="32" t="s">
        <v>820</v>
      </c>
      <c r="Q157" s="31">
        <f>10555</f>
        <v>10555</v>
      </c>
      <c r="R157" s="32" t="s">
        <v>94</v>
      </c>
      <c r="S157" s="33">
        <f>10669.17</f>
        <v>10669.17</v>
      </c>
      <c r="T157" s="30">
        <f>79823</f>
        <v>79823</v>
      </c>
      <c r="U157" s="30">
        <f>59267</f>
        <v>59267</v>
      </c>
      <c r="V157" s="30">
        <f>837929151</f>
        <v>837929151</v>
      </c>
      <c r="W157" s="30">
        <f>619885171</f>
        <v>619885171</v>
      </c>
      <c r="X157" s="34">
        <f>18</f>
        <v>18</v>
      </c>
    </row>
    <row r="158" spans="1:24" x14ac:dyDescent="0.15">
      <c r="A158" s="25" t="s">
        <v>903</v>
      </c>
      <c r="B158" s="25" t="s">
        <v>502</v>
      </c>
      <c r="C158" s="25" t="s">
        <v>503</v>
      </c>
      <c r="D158" s="25" t="s">
        <v>504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2035</f>
        <v>2035</v>
      </c>
      <c r="L158" s="32" t="s">
        <v>904</v>
      </c>
      <c r="M158" s="31">
        <f>2290</f>
        <v>2290</v>
      </c>
      <c r="N158" s="32" t="s">
        <v>94</v>
      </c>
      <c r="O158" s="31">
        <f>2009</f>
        <v>2009</v>
      </c>
      <c r="P158" s="32" t="s">
        <v>907</v>
      </c>
      <c r="Q158" s="31">
        <f>2266</f>
        <v>2266</v>
      </c>
      <c r="R158" s="32" t="s">
        <v>94</v>
      </c>
      <c r="S158" s="33">
        <f>2128.28</f>
        <v>2128.2800000000002</v>
      </c>
      <c r="T158" s="30">
        <f>30529627</f>
        <v>30529627</v>
      </c>
      <c r="U158" s="30">
        <f>8053</f>
        <v>8053</v>
      </c>
      <c r="V158" s="30">
        <f>66097300394</f>
        <v>66097300394</v>
      </c>
      <c r="W158" s="30">
        <f>17271365</f>
        <v>17271365</v>
      </c>
      <c r="X158" s="34">
        <f>18</f>
        <v>18</v>
      </c>
    </row>
    <row r="159" spans="1:24" x14ac:dyDescent="0.15">
      <c r="A159" s="25" t="s">
        <v>903</v>
      </c>
      <c r="B159" s="25" t="s">
        <v>505</v>
      </c>
      <c r="C159" s="25" t="s">
        <v>506</v>
      </c>
      <c r="D159" s="25" t="s">
        <v>507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19500</f>
        <v>19500</v>
      </c>
      <c r="L159" s="32" t="s">
        <v>904</v>
      </c>
      <c r="M159" s="31">
        <f>21335</f>
        <v>21335</v>
      </c>
      <c r="N159" s="32" t="s">
        <v>820</v>
      </c>
      <c r="O159" s="31">
        <f>19430</f>
        <v>19430</v>
      </c>
      <c r="P159" s="32" t="s">
        <v>909</v>
      </c>
      <c r="Q159" s="31">
        <f>20695</f>
        <v>20695</v>
      </c>
      <c r="R159" s="32" t="s">
        <v>94</v>
      </c>
      <c r="S159" s="33">
        <f>20175</f>
        <v>20175</v>
      </c>
      <c r="T159" s="30">
        <f>11315</f>
        <v>11315</v>
      </c>
      <c r="U159" s="30" t="str">
        <f>"－"</f>
        <v>－</v>
      </c>
      <c r="V159" s="30">
        <f>231239695</f>
        <v>231239695</v>
      </c>
      <c r="W159" s="30" t="str">
        <f>"－"</f>
        <v>－</v>
      </c>
      <c r="X159" s="34">
        <f>18</f>
        <v>18</v>
      </c>
    </row>
    <row r="160" spans="1:24" x14ac:dyDescent="0.15">
      <c r="A160" s="25" t="s">
        <v>903</v>
      </c>
      <c r="B160" s="25" t="s">
        <v>508</v>
      </c>
      <c r="C160" s="25" t="s">
        <v>509</v>
      </c>
      <c r="D160" s="25" t="s">
        <v>510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2389</f>
        <v>2389</v>
      </c>
      <c r="L160" s="32" t="s">
        <v>904</v>
      </c>
      <c r="M160" s="31">
        <f>2693</f>
        <v>2693</v>
      </c>
      <c r="N160" s="32" t="s">
        <v>820</v>
      </c>
      <c r="O160" s="31">
        <f>2389</f>
        <v>2389</v>
      </c>
      <c r="P160" s="32" t="s">
        <v>904</v>
      </c>
      <c r="Q160" s="31">
        <f>2610.5</f>
        <v>2610.5</v>
      </c>
      <c r="R160" s="32" t="s">
        <v>94</v>
      </c>
      <c r="S160" s="33">
        <f>2518.03</f>
        <v>2518.0300000000002</v>
      </c>
      <c r="T160" s="30">
        <f>28260</f>
        <v>28260</v>
      </c>
      <c r="U160" s="30" t="str">
        <f>"－"</f>
        <v>－</v>
      </c>
      <c r="V160" s="30">
        <f>72950210</f>
        <v>72950210</v>
      </c>
      <c r="W160" s="30" t="str">
        <f>"－"</f>
        <v>－</v>
      </c>
      <c r="X160" s="34">
        <f>18</f>
        <v>18</v>
      </c>
    </row>
    <row r="161" spans="1:24" x14ac:dyDescent="0.15">
      <c r="A161" s="25" t="s">
        <v>903</v>
      </c>
      <c r="B161" s="25" t="s">
        <v>511</v>
      </c>
      <c r="C161" s="25" t="s">
        <v>512</v>
      </c>
      <c r="D161" s="25" t="s">
        <v>513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10795</f>
        <v>10795</v>
      </c>
      <c r="L161" s="32" t="s">
        <v>904</v>
      </c>
      <c r="M161" s="31">
        <f>11830</f>
        <v>11830</v>
      </c>
      <c r="N161" s="32" t="s">
        <v>820</v>
      </c>
      <c r="O161" s="31">
        <f>10795</f>
        <v>10795</v>
      </c>
      <c r="P161" s="32" t="s">
        <v>904</v>
      </c>
      <c r="Q161" s="31">
        <f>11395</f>
        <v>11395</v>
      </c>
      <c r="R161" s="32" t="s">
        <v>94</v>
      </c>
      <c r="S161" s="33">
        <f>11218.61</f>
        <v>11218.61</v>
      </c>
      <c r="T161" s="30">
        <f>3211</f>
        <v>3211</v>
      </c>
      <c r="U161" s="30" t="str">
        <f>"－"</f>
        <v>－</v>
      </c>
      <c r="V161" s="30">
        <f>36440180</f>
        <v>36440180</v>
      </c>
      <c r="W161" s="30" t="str">
        <f>"－"</f>
        <v>－</v>
      </c>
      <c r="X161" s="34">
        <f>18</f>
        <v>18</v>
      </c>
    </row>
    <row r="162" spans="1:24" x14ac:dyDescent="0.15">
      <c r="A162" s="25" t="s">
        <v>903</v>
      </c>
      <c r="B162" s="25" t="s">
        <v>514</v>
      </c>
      <c r="C162" s="25" t="s">
        <v>515</v>
      </c>
      <c r="D162" s="25" t="s">
        <v>516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</v>
      </c>
      <c r="K162" s="31">
        <f>24710</f>
        <v>24710</v>
      </c>
      <c r="L162" s="32" t="s">
        <v>904</v>
      </c>
      <c r="M162" s="31">
        <f>27300</f>
        <v>27300</v>
      </c>
      <c r="N162" s="32" t="s">
        <v>820</v>
      </c>
      <c r="O162" s="31">
        <f>23730</f>
        <v>23730</v>
      </c>
      <c r="P162" s="32" t="s">
        <v>911</v>
      </c>
      <c r="Q162" s="31">
        <f>26625</f>
        <v>26625</v>
      </c>
      <c r="R162" s="32" t="s">
        <v>94</v>
      </c>
      <c r="S162" s="33">
        <f>25206.67</f>
        <v>25206.67</v>
      </c>
      <c r="T162" s="30">
        <f>8474</f>
        <v>8474</v>
      </c>
      <c r="U162" s="30" t="str">
        <f>"－"</f>
        <v>－</v>
      </c>
      <c r="V162" s="30">
        <f>217612220</f>
        <v>217612220</v>
      </c>
      <c r="W162" s="30" t="str">
        <f>"－"</f>
        <v>－</v>
      </c>
      <c r="X162" s="34">
        <f>18</f>
        <v>18</v>
      </c>
    </row>
    <row r="163" spans="1:24" x14ac:dyDescent="0.15">
      <c r="A163" s="25" t="s">
        <v>903</v>
      </c>
      <c r="B163" s="25" t="s">
        <v>517</v>
      </c>
      <c r="C163" s="25" t="s">
        <v>518</v>
      </c>
      <c r="D163" s="25" t="s">
        <v>519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</v>
      </c>
      <c r="K163" s="31">
        <f>17000</f>
        <v>17000</v>
      </c>
      <c r="L163" s="32" t="s">
        <v>905</v>
      </c>
      <c r="M163" s="31">
        <f>18365</f>
        <v>18365</v>
      </c>
      <c r="N163" s="32" t="s">
        <v>94</v>
      </c>
      <c r="O163" s="31">
        <f>16790</f>
        <v>16790</v>
      </c>
      <c r="P163" s="32" t="s">
        <v>814</v>
      </c>
      <c r="Q163" s="31">
        <f>17700</f>
        <v>17700</v>
      </c>
      <c r="R163" s="32" t="s">
        <v>94</v>
      </c>
      <c r="S163" s="33">
        <f>17500</f>
        <v>17500</v>
      </c>
      <c r="T163" s="30">
        <f>600</f>
        <v>600</v>
      </c>
      <c r="U163" s="30" t="str">
        <f>"－"</f>
        <v>－</v>
      </c>
      <c r="V163" s="30">
        <f>10643270</f>
        <v>10643270</v>
      </c>
      <c r="W163" s="30" t="str">
        <f>"－"</f>
        <v>－</v>
      </c>
      <c r="X163" s="34">
        <f>7</f>
        <v>7</v>
      </c>
    </row>
    <row r="164" spans="1:24" x14ac:dyDescent="0.15">
      <c r="A164" s="25" t="s">
        <v>903</v>
      </c>
      <c r="B164" s="25" t="s">
        <v>520</v>
      </c>
      <c r="C164" s="25" t="s">
        <v>521</v>
      </c>
      <c r="D164" s="25" t="s">
        <v>522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51010</f>
        <v>51010</v>
      </c>
      <c r="L164" s="32" t="s">
        <v>904</v>
      </c>
      <c r="M164" s="31">
        <f>51010</f>
        <v>51010</v>
      </c>
      <c r="N164" s="32" t="s">
        <v>904</v>
      </c>
      <c r="O164" s="31">
        <f>50000</f>
        <v>50000</v>
      </c>
      <c r="P164" s="32" t="s">
        <v>820</v>
      </c>
      <c r="Q164" s="31">
        <f>50160</f>
        <v>50160</v>
      </c>
      <c r="R164" s="32" t="s">
        <v>94</v>
      </c>
      <c r="S164" s="33">
        <f>50506.67</f>
        <v>50506.67</v>
      </c>
      <c r="T164" s="30">
        <f>9880</f>
        <v>9880</v>
      </c>
      <c r="U164" s="30">
        <f>60</f>
        <v>60</v>
      </c>
      <c r="V164" s="30">
        <f>500131200</f>
        <v>500131200</v>
      </c>
      <c r="W164" s="30">
        <f>3029700</f>
        <v>3029700</v>
      </c>
      <c r="X164" s="34">
        <f>18</f>
        <v>18</v>
      </c>
    </row>
    <row r="165" spans="1:24" x14ac:dyDescent="0.15">
      <c r="A165" s="25" t="s">
        <v>903</v>
      </c>
      <c r="B165" s="25" t="s">
        <v>523</v>
      </c>
      <c r="C165" s="25" t="s">
        <v>524</v>
      </c>
      <c r="D165" s="25" t="s">
        <v>525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100</v>
      </c>
      <c r="K165" s="31">
        <f>238.9</f>
        <v>238.9</v>
      </c>
      <c r="L165" s="32" t="s">
        <v>904</v>
      </c>
      <c r="M165" s="31">
        <f>240.2</f>
        <v>240.2</v>
      </c>
      <c r="N165" s="32" t="s">
        <v>909</v>
      </c>
      <c r="O165" s="31">
        <f>220</f>
        <v>220</v>
      </c>
      <c r="P165" s="32" t="s">
        <v>94</v>
      </c>
      <c r="Q165" s="31">
        <f>223.4</f>
        <v>223.4</v>
      </c>
      <c r="R165" s="32" t="s">
        <v>94</v>
      </c>
      <c r="S165" s="33">
        <f>232.64</f>
        <v>232.64</v>
      </c>
      <c r="T165" s="30">
        <f>12088800</f>
        <v>12088800</v>
      </c>
      <c r="U165" s="30">
        <f>3200</f>
        <v>3200</v>
      </c>
      <c r="V165" s="30">
        <f>2793646490</f>
        <v>2793646490</v>
      </c>
      <c r="W165" s="30">
        <f>734540</f>
        <v>734540</v>
      </c>
      <c r="X165" s="34">
        <f>18</f>
        <v>18</v>
      </c>
    </row>
    <row r="166" spans="1:24" x14ac:dyDescent="0.15">
      <c r="A166" s="25" t="s">
        <v>903</v>
      </c>
      <c r="B166" s="25" t="s">
        <v>526</v>
      </c>
      <c r="C166" s="25" t="s">
        <v>527</v>
      </c>
      <c r="D166" s="25" t="s">
        <v>528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35000</f>
        <v>35000</v>
      </c>
      <c r="L166" s="32" t="s">
        <v>904</v>
      </c>
      <c r="M166" s="31">
        <f>35750</f>
        <v>35750</v>
      </c>
      <c r="N166" s="32" t="s">
        <v>905</v>
      </c>
      <c r="O166" s="31">
        <f>32010</f>
        <v>32010</v>
      </c>
      <c r="P166" s="32" t="s">
        <v>820</v>
      </c>
      <c r="Q166" s="31">
        <f>33580</f>
        <v>33580</v>
      </c>
      <c r="R166" s="32" t="s">
        <v>94</v>
      </c>
      <c r="S166" s="33">
        <f>34501.11</f>
        <v>34501.11</v>
      </c>
      <c r="T166" s="30">
        <f>11130</f>
        <v>11130</v>
      </c>
      <c r="U166" s="30">
        <f>10</f>
        <v>10</v>
      </c>
      <c r="V166" s="30">
        <f>376167700</f>
        <v>376167700</v>
      </c>
      <c r="W166" s="30">
        <f>350400</f>
        <v>350400</v>
      </c>
      <c r="X166" s="34">
        <f>18</f>
        <v>18</v>
      </c>
    </row>
    <row r="167" spans="1:24" x14ac:dyDescent="0.15">
      <c r="A167" s="25" t="s">
        <v>903</v>
      </c>
      <c r="B167" s="25" t="s">
        <v>529</v>
      </c>
      <c r="C167" s="25" t="s">
        <v>530</v>
      </c>
      <c r="D167" s="25" t="s">
        <v>531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3709</f>
        <v>3709</v>
      </c>
      <c r="L167" s="32" t="s">
        <v>904</v>
      </c>
      <c r="M167" s="31">
        <f>3807</f>
        <v>3807</v>
      </c>
      <c r="N167" s="32" t="s">
        <v>905</v>
      </c>
      <c r="O167" s="31">
        <f>3409</f>
        <v>3409</v>
      </c>
      <c r="P167" s="32" t="s">
        <v>820</v>
      </c>
      <c r="Q167" s="31">
        <f>3547</f>
        <v>3547</v>
      </c>
      <c r="R167" s="32" t="s">
        <v>94</v>
      </c>
      <c r="S167" s="33">
        <f>3665.89</f>
        <v>3665.89</v>
      </c>
      <c r="T167" s="30">
        <f>210040</f>
        <v>210040</v>
      </c>
      <c r="U167" s="30" t="str">
        <f t="shared" ref="U167:U174" si="2">"－"</f>
        <v>－</v>
      </c>
      <c r="V167" s="30">
        <f>759644170</f>
        <v>759644170</v>
      </c>
      <c r="W167" s="30" t="str">
        <f t="shared" ref="W167:W174" si="3">"－"</f>
        <v>－</v>
      </c>
      <c r="X167" s="34">
        <f>18</f>
        <v>18</v>
      </c>
    </row>
    <row r="168" spans="1:24" x14ac:dyDescent="0.15">
      <c r="A168" s="25" t="s">
        <v>903</v>
      </c>
      <c r="B168" s="25" t="s">
        <v>532</v>
      </c>
      <c r="C168" s="25" t="s">
        <v>533</v>
      </c>
      <c r="D168" s="25" t="s">
        <v>534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1755</f>
        <v>1755</v>
      </c>
      <c r="L168" s="32" t="s">
        <v>904</v>
      </c>
      <c r="M168" s="31">
        <f>1810</f>
        <v>1810</v>
      </c>
      <c r="N168" s="32" t="s">
        <v>819</v>
      </c>
      <c r="O168" s="31">
        <f>1656</f>
        <v>1656</v>
      </c>
      <c r="P168" s="32" t="s">
        <v>94</v>
      </c>
      <c r="Q168" s="31">
        <f>1674</f>
        <v>1674</v>
      </c>
      <c r="R168" s="32" t="s">
        <v>94</v>
      </c>
      <c r="S168" s="33">
        <f>1748.25</f>
        <v>1748.25</v>
      </c>
      <c r="T168" s="30">
        <f>108230</f>
        <v>108230</v>
      </c>
      <c r="U168" s="30" t="str">
        <f t="shared" si="2"/>
        <v>－</v>
      </c>
      <c r="V168" s="30">
        <f>189346805</f>
        <v>189346805</v>
      </c>
      <c r="W168" s="30" t="str">
        <f t="shared" si="3"/>
        <v>－</v>
      </c>
      <c r="X168" s="34">
        <f>18</f>
        <v>18</v>
      </c>
    </row>
    <row r="169" spans="1:24" x14ac:dyDescent="0.15">
      <c r="A169" s="25" t="s">
        <v>903</v>
      </c>
      <c r="B169" s="25" t="s">
        <v>535</v>
      </c>
      <c r="C169" s="25" t="s">
        <v>536</v>
      </c>
      <c r="D169" s="25" t="s">
        <v>537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100</v>
      </c>
      <c r="K169" s="31">
        <f>197.3</f>
        <v>197.3</v>
      </c>
      <c r="L169" s="32" t="s">
        <v>904</v>
      </c>
      <c r="M169" s="31">
        <f>215.8</f>
        <v>215.8</v>
      </c>
      <c r="N169" s="32" t="s">
        <v>820</v>
      </c>
      <c r="O169" s="31">
        <f>195.5</f>
        <v>195.5</v>
      </c>
      <c r="P169" s="32" t="s">
        <v>904</v>
      </c>
      <c r="Q169" s="31">
        <f>207.8</f>
        <v>207.8</v>
      </c>
      <c r="R169" s="32" t="s">
        <v>94</v>
      </c>
      <c r="S169" s="33">
        <f>203.66</f>
        <v>203.66</v>
      </c>
      <c r="T169" s="30">
        <f>366600</f>
        <v>366600</v>
      </c>
      <c r="U169" s="30" t="str">
        <f t="shared" si="2"/>
        <v>－</v>
      </c>
      <c r="V169" s="30">
        <f>75411210</f>
        <v>75411210</v>
      </c>
      <c r="W169" s="30" t="str">
        <f t="shared" si="3"/>
        <v>－</v>
      </c>
      <c r="X169" s="34">
        <f>18</f>
        <v>18</v>
      </c>
    </row>
    <row r="170" spans="1:24" x14ac:dyDescent="0.15">
      <c r="A170" s="25" t="s">
        <v>903</v>
      </c>
      <c r="B170" s="25" t="s">
        <v>538</v>
      </c>
      <c r="C170" s="25" t="s">
        <v>539</v>
      </c>
      <c r="D170" s="25" t="s">
        <v>540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1296</f>
        <v>1296</v>
      </c>
      <c r="L170" s="32" t="s">
        <v>909</v>
      </c>
      <c r="M170" s="31">
        <f>1603</f>
        <v>1603</v>
      </c>
      <c r="N170" s="32" t="s">
        <v>695</v>
      </c>
      <c r="O170" s="31">
        <f>1260</f>
        <v>1260</v>
      </c>
      <c r="P170" s="32" t="s">
        <v>906</v>
      </c>
      <c r="Q170" s="31">
        <f>1349.5</f>
        <v>1349.5</v>
      </c>
      <c r="R170" s="32" t="s">
        <v>94</v>
      </c>
      <c r="S170" s="33">
        <f>1341.27</f>
        <v>1341.27</v>
      </c>
      <c r="T170" s="30">
        <f>21450</f>
        <v>21450</v>
      </c>
      <c r="U170" s="30" t="str">
        <f t="shared" si="2"/>
        <v>－</v>
      </c>
      <c r="V170" s="30">
        <f>28976505</f>
        <v>28976505</v>
      </c>
      <c r="W170" s="30" t="str">
        <f t="shared" si="3"/>
        <v>－</v>
      </c>
      <c r="X170" s="34">
        <f>15</f>
        <v>15</v>
      </c>
    </row>
    <row r="171" spans="1:24" x14ac:dyDescent="0.15">
      <c r="A171" s="25" t="s">
        <v>903</v>
      </c>
      <c r="B171" s="25" t="s">
        <v>541</v>
      </c>
      <c r="C171" s="25" t="s">
        <v>542</v>
      </c>
      <c r="D171" s="25" t="s">
        <v>543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509.8</f>
        <v>509.8</v>
      </c>
      <c r="L171" s="32" t="s">
        <v>904</v>
      </c>
      <c r="M171" s="31">
        <f>509.8</f>
        <v>509.8</v>
      </c>
      <c r="N171" s="32" t="s">
        <v>904</v>
      </c>
      <c r="O171" s="31">
        <f>446.4</f>
        <v>446.4</v>
      </c>
      <c r="P171" s="32" t="s">
        <v>905</v>
      </c>
      <c r="Q171" s="31">
        <f>495</f>
        <v>495</v>
      </c>
      <c r="R171" s="32" t="s">
        <v>94</v>
      </c>
      <c r="S171" s="33">
        <f>476.32</f>
        <v>476.32</v>
      </c>
      <c r="T171" s="30">
        <f>169810</f>
        <v>169810</v>
      </c>
      <c r="U171" s="30" t="str">
        <f t="shared" si="2"/>
        <v>－</v>
      </c>
      <c r="V171" s="30">
        <f>81160437</f>
        <v>81160437</v>
      </c>
      <c r="W171" s="30" t="str">
        <f t="shared" si="3"/>
        <v>－</v>
      </c>
      <c r="X171" s="34">
        <f>18</f>
        <v>18</v>
      </c>
    </row>
    <row r="172" spans="1:24" x14ac:dyDescent="0.15">
      <c r="A172" s="25" t="s">
        <v>903</v>
      </c>
      <c r="B172" s="25" t="s">
        <v>544</v>
      </c>
      <c r="C172" s="25" t="s">
        <v>545</v>
      </c>
      <c r="D172" s="25" t="s">
        <v>546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2020</f>
        <v>2020</v>
      </c>
      <c r="L172" s="32" t="s">
        <v>904</v>
      </c>
      <c r="M172" s="31">
        <f>2181.5</f>
        <v>2181.5</v>
      </c>
      <c r="N172" s="32" t="s">
        <v>815</v>
      </c>
      <c r="O172" s="31">
        <f>1991.5</f>
        <v>1991.5</v>
      </c>
      <c r="P172" s="32" t="s">
        <v>904</v>
      </c>
      <c r="Q172" s="31">
        <f>2167.5</f>
        <v>2167.5</v>
      </c>
      <c r="R172" s="32" t="s">
        <v>94</v>
      </c>
      <c r="S172" s="33">
        <f>2079.72</f>
        <v>2079.7199999999998</v>
      </c>
      <c r="T172" s="30">
        <f>18390</f>
        <v>18390</v>
      </c>
      <c r="U172" s="30" t="str">
        <f t="shared" si="2"/>
        <v>－</v>
      </c>
      <c r="V172" s="30">
        <f>38612540</f>
        <v>38612540</v>
      </c>
      <c r="W172" s="30" t="str">
        <f t="shared" si="3"/>
        <v>－</v>
      </c>
      <c r="X172" s="34">
        <f>18</f>
        <v>18</v>
      </c>
    </row>
    <row r="173" spans="1:24" x14ac:dyDescent="0.15">
      <c r="A173" s="25" t="s">
        <v>903</v>
      </c>
      <c r="B173" s="25" t="s">
        <v>547</v>
      </c>
      <c r="C173" s="25" t="s">
        <v>548</v>
      </c>
      <c r="D173" s="25" t="s">
        <v>549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769.9</f>
        <v>769.9</v>
      </c>
      <c r="L173" s="32" t="s">
        <v>904</v>
      </c>
      <c r="M173" s="31">
        <f>805.3</f>
        <v>805.3</v>
      </c>
      <c r="N173" s="32" t="s">
        <v>820</v>
      </c>
      <c r="O173" s="31">
        <f>718.9</f>
        <v>718.9</v>
      </c>
      <c r="P173" s="32" t="s">
        <v>904</v>
      </c>
      <c r="Q173" s="31">
        <f>771.3</f>
        <v>771.3</v>
      </c>
      <c r="R173" s="32" t="s">
        <v>94</v>
      </c>
      <c r="S173" s="33">
        <f>752.36</f>
        <v>752.36</v>
      </c>
      <c r="T173" s="30">
        <f>333050</f>
        <v>333050</v>
      </c>
      <c r="U173" s="30" t="str">
        <f t="shared" si="2"/>
        <v>－</v>
      </c>
      <c r="V173" s="30">
        <f>252993783</f>
        <v>252993783</v>
      </c>
      <c r="W173" s="30" t="str">
        <f t="shared" si="3"/>
        <v>－</v>
      </c>
      <c r="X173" s="34">
        <f>18</f>
        <v>18</v>
      </c>
    </row>
    <row r="174" spans="1:24" x14ac:dyDescent="0.15">
      <c r="A174" s="25" t="s">
        <v>903</v>
      </c>
      <c r="B174" s="25" t="s">
        <v>550</v>
      </c>
      <c r="C174" s="25" t="s">
        <v>551</v>
      </c>
      <c r="D174" s="25" t="s">
        <v>552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561.1</f>
        <v>561.1</v>
      </c>
      <c r="L174" s="32" t="s">
        <v>904</v>
      </c>
      <c r="M174" s="31">
        <f>600</f>
        <v>600</v>
      </c>
      <c r="N174" s="32" t="s">
        <v>820</v>
      </c>
      <c r="O174" s="31">
        <f>511</f>
        <v>511</v>
      </c>
      <c r="P174" s="32" t="s">
        <v>907</v>
      </c>
      <c r="Q174" s="31">
        <f>570</f>
        <v>570</v>
      </c>
      <c r="R174" s="32" t="s">
        <v>94</v>
      </c>
      <c r="S174" s="33">
        <f>544.09</f>
        <v>544.09</v>
      </c>
      <c r="T174" s="30">
        <f>1625770</f>
        <v>1625770</v>
      </c>
      <c r="U174" s="30" t="str">
        <f t="shared" si="2"/>
        <v>－</v>
      </c>
      <c r="V174" s="30">
        <f>903788885</f>
        <v>903788885</v>
      </c>
      <c r="W174" s="30" t="str">
        <f t="shared" si="3"/>
        <v>－</v>
      </c>
      <c r="X174" s="34">
        <f>18</f>
        <v>18</v>
      </c>
    </row>
    <row r="175" spans="1:24" x14ac:dyDescent="0.15">
      <c r="A175" s="25" t="s">
        <v>903</v>
      </c>
      <c r="B175" s="25" t="s">
        <v>553</v>
      </c>
      <c r="C175" s="25" t="s">
        <v>554</v>
      </c>
      <c r="D175" s="25" t="s">
        <v>555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2.4</f>
        <v>2.4</v>
      </c>
      <c r="L175" s="32" t="s">
        <v>904</v>
      </c>
      <c r="M175" s="31">
        <f>2.7</f>
        <v>2.7</v>
      </c>
      <c r="N175" s="32" t="s">
        <v>907</v>
      </c>
      <c r="O175" s="31">
        <f>1.9</f>
        <v>1.9</v>
      </c>
      <c r="P175" s="32" t="s">
        <v>905</v>
      </c>
      <c r="Q175" s="31">
        <f>2.2</f>
        <v>2.2000000000000002</v>
      </c>
      <c r="R175" s="32" t="s">
        <v>94</v>
      </c>
      <c r="S175" s="33">
        <f>2.22</f>
        <v>2.2200000000000002</v>
      </c>
      <c r="T175" s="30">
        <f>447560600</f>
        <v>447560600</v>
      </c>
      <c r="U175" s="30">
        <f>707200</f>
        <v>707200</v>
      </c>
      <c r="V175" s="30">
        <f>1004320140</f>
        <v>1004320140</v>
      </c>
      <c r="W175" s="30">
        <f>1572360</f>
        <v>1572360</v>
      </c>
      <c r="X175" s="34">
        <f>18</f>
        <v>18</v>
      </c>
    </row>
    <row r="176" spans="1:24" x14ac:dyDescent="0.15">
      <c r="A176" s="25" t="s">
        <v>903</v>
      </c>
      <c r="B176" s="25" t="s">
        <v>556</v>
      </c>
      <c r="C176" s="25" t="s">
        <v>557</v>
      </c>
      <c r="D176" s="25" t="s">
        <v>558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950.4</f>
        <v>950.4</v>
      </c>
      <c r="L176" s="32" t="s">
        <v>904</v>
      </c>
      <c r="M176" s="31">
        <f>1055</f>
        <v>1055</v>
      </c>
      <c r="N176" s="32" t="s">
        <v>94</v>
      </c>
      <c r="O176" s="31">
        <f>936.5</f>
        <v>936.5</v>
      </c>
      <c r="P176" s="32" t="s">
        <v>907</v>
      </c>
      <c r="Q176" s="31">
        <f>1044</f>
        <v>1044</v>
      </c>
      <c r="R176" s="32" t="s">
        <v>94</v>
      </c>
      <c r="S176" s="33">
        <f>990.21</f>
        <v>990.21</v>
      </c>
      <c r="T176" s="30">
        <f>848600</f>
        <v>848600</v>
      </c>
      <c r="U176" s="30" t="str">
        <f>"－"</f>
        <v>－</v>
      </c>
      <c r="V176" s="30">
        <f>857468559</f>
        <v>857468559</v>
      </c>
      <c r="W176" s="30" t="str">
        <f>"－"</f>
        <v>－</v>
      </c>
      <c r="X176" s="34">
        <f>18</f>
        <v>18</v>
      </c>
    </row>
    <row r="177" spans="1:24" x14ac:dyDescent="0.15">
      <c r="A177" s="25" t="s">
        <v>903</v>
      </c>
      <c r="B177" s="25" t="s">
        <v>559</v>
      </c>
      <c r="C177" s="25" t="s">
        <v>560</v>
      </c>
      <c r="D177" s="25" t="s">
        <v>561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</v>
      </c>
      <c r="K177" s="31">
        <f>4130</f>
        <v>4130</v>
      </c>
      <c r="L177" s="32" t="s">
        <v>909</v>
      </c>
      <c r="M177" s="31">
        <f>4955</f>
        <v>4955</v>
      </c>
      <c r="N177" s="32" t="s">
        <v>94</v>
      </c>
      <c r="O177" s="31">
        <f>4130</f>
        <v>4130</v>
      </c>
      <c r="P177" s="32" t="s">
        <v>909</v>
      </c>
      <c r="Q177" s="31">
        <f>4935</f>
        <v>4935</v>
      </c>
      <c r="R177" s="32" t="s">
        <v>94</v>
      </c>
      <c r="S177" s="33">
        <f>4510.63</f>
        <v>4510.63</v>
      </c>
      <c r="T177" s="30">
        <f>4774</f>
        <v>4774</v>
      </c>
      <c r="U177" s="30" t="str">
        <f>"－"</f>
        <v>－</v>
      </c>
      <c r="V177" s="30">
        <f>22092690</f>
        <v>22092690</v>
      </c>
      <c r="W177" s="30" t="str">
        <f>"－"</f>
        <v>－</v>
      </c>
      <c r="X177" s="34">
        <f>16</f>
        <v>16</v>
      </c>
    </row>
    <row r="178" spans="1:24" x14ac:dyDescent="0.15">
      <c r="A178" s="25" t="s">
        <v>903</v>
      </c>
      <c r="B178" s="25" t="s">
        <v>562</v>
      </c>
      <c r="C178" s="25" t="s">
        <v>563</v>
      </c>
      <c r="D178" s="25" t="s">
        <v>564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488</f>
        <v>488</v>
      </c>
      <c r="L178" s="32" t="s">
        <v>904</v>
      </c>
      <c r="M178" s="31">
        <f>580</f>
        <v>580</v>
      </c>
      <c r="N178" s="32" t="s">
        <v>94</v>
      </c>
      <c r="O178" s="31">
        <f>472.8</f>
        <v>472.8</v>
      </c>
      <c r="P178" s="32" t="s">
        <v>907</v>
      </c>
      <c r="Q178" s="31">
        <f>580</f>
        <v>580</v>
      </c>
      <c r="R178" s="32" t="s">
        <v>94</v>
      </c>
      <c r="S178" s="33">
        <f>519.08</f>
        <v>519.08000000000004</v>
      </c>
      <c r="T178" s="30">
        <f>280800</f>
        <v>280800</v>
      </c>
      <c r="U178" s="30" t="str">
        <f>"－"</f>
        <v>－</v>
      </c>
      <c r="V178" s="30">
        <f>147876200</f>
        <v>147876200</v>
      </c>
      <c r="W178" s="30" t="str">
        <f>"－"</f>
        <v>－</v>
      </c>
      <c r="X178" s="34">
        <f>18</f>
        <v>18</v>
      </c>
    </row>
    <row r="179" spans="1:24" x14ac:dyDescent="0.15">
      <c r="A179" s="25" t="s">
        <v>903</v>
      </c>
      <c r="B179" s="25" t="s">
        <v>565</v>
      </c>
      <c r="C179" s="25" t="s">
        <v>566</v>
      </c>
      <c r="D179" s="25" t="s">
        <v>567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4400</f>
        <v>4400</v>
      </c>
      <c r="L179" s="32" t="s">
        <v>904</v>
      </c>
      <c r="M179" s="31">
        <f>4720</f>
        <v>4720</v>
      </c>
      <c r="N179" s="32" t="s">
        <v>905</v>
      </c>
      <c r="O179" s="31">
        <f>4399</f>
        <v>4399</v>
      </c>
      <c r="P179" s="32" t="s">
        <v>904</v>
      </c>
      <c r="Q179" s="31">
        <f>4601</f>
        <v>4601</v>
      </c>
      <c r="R179" s="32" t="s">
        <v>94</v>
      </c>
      <c r="S179" s="33">
        <f>4578.22</f>
        <v>4578.22</v>
      </c>
      <c r="T179" s="30">
        <f>19740</f>
        <v>19740</v>
      </c>
      <c r="U179" s="30" t="str">
        <f>"－"</f>
        <v>－</v>
      </c>
      <c r="V179" s="30">
        <f>90812290</f>
        <v>90812290</v>
      </c>
      <c r="W179" s="30" t="str">
        <f>"－"</f>
        <v>－</v>
      </c>
      <c r="X179" s="34">
        <f>18</f>
        <v>18</v>
      </c>
    </row>
    <row r="180" spans="1:24" x14ac:dyDescent="0.15">
      <c r="A180" s="25" t="s">
        <v>903</v>
      </c>
      <c r="B180" s="25" t="s">
        <v>568</v>
      </c>
      <c r="C180" s="25" t="s">
        <v>569</v>
      </c>
      <c r="D180" s="25" t="s">
        <v>570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2407</f>
        <v>2407</v>
      </c>
      <c r="L180" s="32" t="s">
        <v>904</v>
      </c>
      <c r="M180" s="31">
        <f>2729.5</f>
        <v>2729.5</v>
      </c>
      <c r="N180" s="32" t="s">
        <v>820</v>
      </c>
      <c r="O180" s="31">
        <f>2399</f>
        <v>2399</v>
      </c>
      <c r="P180" s="32" t="s">
        <v>904</v>
      </c>
      <c r="Q180" s="31">
        <f>2712</f>
        <v>2712</v>
      </c>
      <c r="R180" s="32" t="s">
        <v>94</v>
      </c>
      <c r="S180" s="33">
        <f>2555.53</f>
        <v>2555.5300000000002</v>
      </c>
      <c r="T180" s="30">
        <f>56560</f>
        <v>56560</v>
      </c>
      <c r="U180" s="30" t="str">
        <f>"－"</f>
        <v>－</v>
      </c>
      <c r="V180" s="30">
        <f>147032225</f>
        <v>147032225</v>
      </c>
      <c r="W180" s="30" t="str">
        <f>"－"</f>
        <v>－</v>
      </c>
      <c r="X180" s="34">
        <f>18</f>
        <v>18</v>
      </c>
    </row>
    <row r="181" spans="1:24" x14ac:dyDescent="0.15">
      <c r="A181" s="25" t="s">
        <v>903</v>
      </c>
      <c r="B181" s="25" t="s">
        <v>571</v>
      </c>
      <c r="C181" s="25" t="s">
        <v>572</v>
      </c>
      <c r="D181" s="25" t="s">
        <v>573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100</v>
      </c>
      <c r="K181" s="31">
        <f>102.7</f>
        <v>102.7</v>
      </c>
      <c r="L181" s="32" t="s">
        <v>904</v>
      </c>
      <c r="M181" s="31">
        <f>115.8</f>
        <v>115.8</v>
      </c>
      <c r="N181" s="32" t="s">
        <v>820</v>
      </c>
      <c r="O181" s="31">
        <f>94</f>
        <v>94</v>
      </c>
      <c r="P181" s="32" t="s">
        <v>811</v>
      </c>
      <c r="Q181" s="31">
        <f>109.2</f>
        <v>109.2</v>
      </c>
      <c r="R181" s="32" t="s">
        <v>94</v>
      </c>
      <c r="S181" s="33">
        <f>100.24</f>
        <v>100.24</v>
      </c>
      <c r="T181" s="30">
        <f>23458700</f>
        <v>23458700</v>
      </c>
      <c r="U181" s="30">
        <f>5000</f>
        <v>5000</v>
      </c>
      <c r="V181" s="30">
        <f>2448287140</f>
        <v>2448287140</v>
      </c>
      <c r="W181" s="30">
        <f>505000</f>
        <v>505000</v>
      </c>
      <c r="X181" s="34">
        <f>18</f>
        <v>18</v>
      </c>
    </row>
    <row r="182" spans="1:24" x14ac:dyDescent="0.15">
      <c r="A182" s="25" t="s">
        <v>903</v>
      </c>
      <c r="B182" s="25" t="s">
        <v>574</v>
      </c>
      <c r="C182" s="25" t="s">
        <v>575</v>
      </c>
      <c r="D182" s="25" t="s">
        <v>576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100</v>
      </c>
      <c r="K182" s="31">
        <f>135.6</f>
        <v>135.6</v>
      </c>
      <c r="L182" s="32" t="s">
        <v>904</v>
      </c>
      <c r="M182" s="31">
        <f>155</f>
        <v>155</v>
      </c>
      <c r="N182" s="32" t="s">
        <v>94</v>
      </c>
      <c r="O182" s="31">
        <f>133</f>
        <v>133</v>
      </c>
      <c r="P182" s="32" t="s">
        <v>907</v>
      </c>
      <c r="Q182" s="31">
        <f>146.9</f>
        <v>146.9</v>
      </c>
      <c r="R182" s="32" t="s">
        <v>94</v>
      </c>
      <c r="S182" s="33">
        <f>140.94</f>
        <v>140.94</v>
      </c>
      <c r="T182" s="30">
        <f>3689100</f>
        <v>3689100</v>
      </c>
      <c r="U182" s="30">
        <f>1000</f>
        <v>1000</v>
      </c>
      <c r="V182" s="30">
        <f>527634390</f>
        <v>527634390</v>
      </c>
      <c r="W182" s="30">
        <f>142000</f>
        <v>142000</v>
      </c>
      <c r="X182" s="34">
        <f>18</f>
        <v>18</v>
      </c>
    </row>
    <row r="183" spans="1:24" x14ac:dyDescent="0.15">
      <c r="A183" s="25" t="s">
        <v>903</v>
      </c>
      <c r="B183" s="25" t="s">
        <v>577</v>
      </c>
      <c r="C183" s="25" t="s">
        <v>578</v>
      </c>
      <c r="D183" s="25" t="s">
        <v>579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3180</f>
        <v>3180</v>
      </c>
      <c r="L183" s="32" t="s">
        <v>904</v>
      </c>
      <c r="M183" s="31">
        <f>3587</f>
        <v>3587</v>
      </c>
      <c r="N183" s="32" t="s">
        <v>820</v>
      </c>
      <c r="O183" s="31">
        <f>3112</f>
        <v>3112</v>
      </c>
      <c r="P183" s="32" t="s">
        <v>904</v>
      </c>
      <c r="Q183" s="31">
        <f>3405</f>
        <v>3405</v>
      </c>
      <c r="R183" s="32" t="s">
        <v>94</v>
      </c>
      <c r="S183" s="33">
        <f>3329.28</f>
        <v>3329.28</v>
      </c>
      <c r="T183" s="30">
        <f>82900</f>
        <v>82900</v>
      </c>
      <c r="U183" s="30" t="str">
        <f>"－"</f>
        <v>－</v>
      </c>
      <c r="V183" s="30">
        <f>278605840</f>
        <v>278605840</v>
      </c>
      <c r="W183" s="30" t="str">
        <f>"－"</f>
        <v>－</v>
      </c>
      <c r="X183" s="34">
        <f>18</f>
        <v>18</v>
      </c>
    </row>
    <row r="184" spans="1:24" x14ac:dyDescent="0.15">
      <c r="A184" s="25" t="s">
        <v>903</v>
      </c>
      <c r="B184" s="25" t="s">
        <v>580</v>
      </c>
      <c r="C184" s="25" t="s">
        <v>581</v>
      </c>
      <c r="D184" s="25" t="s">
        <v>582</v>
      </c>
      <c r="E184" s="26" t="s">
        <v>45</v>
      </c>
      <c r="F184" s="27" t="s">
        <v>45</v>
      </c>
      <c r="G184" s="28" t="s">
        <v>45</v>
      </c>
      <c r="H184" s="29"/>
      <c r="I184" s="29" t="s">
        <v>46</v>
      </c>
      <c r="J184" s="30">
        <v>10</v>
      </c>
      <c r="K184" s="31">
        <f>1883</f>
        <v>1883</v>
      </c>
      <c r="L184" s="32" t="s">
        <v>904</v>
      </c>
      <c r="M184" s="31">
        <f>1944</f>
        <v>1944</v>
      </c>
      <c r="N184" s="32" t="s">
        <v>819</v>
      </c>
      <c r="O184" s="31">
        <f>1846</f>
        <v>1846</v>
      </c>
      <c r="P184" s="32" t="s">
        <v>815</v>
      </c>
      <c r="Q184" s="31">
        <f>1878</f>
        <v>1878</v>
      </c>
      <c r="R184" s="32" t="s">
        <v>94</v>
      </c>
      <c r="S184" s="33">
        <f>1905.97</f>
        <v>1905.97</v>
      </c>
      <c r="T184" s="30">
        <f>189010</f>
        <v>189010</v>
      </c>
      <c r="U184" s="30">
        <f>5610</f>
        <v>5610</v>
      </c>
      <c r="V184" s="30">
        <f>360606593</f>
        <v>360606593</v>
      </c>
      <c r="W184" s="30">
        <f>10842908</f>
        <v>10842908</v>
      </c>
      <c r="X184" s="34">
        <f>18</f>
        <v>18</v>
      </c>
    </row>
    <row r="185" spans="1:24" x14ac:dyDescent="0.15">
      <c r="A185" s="25" t="s">
        <v>903</v>
      </c>
      <c r="B185" s="25" t="s">
        <v>583</v>
      </c>
      <c r="C185" s="25" t="s">
        <v>584</v>
      </c>
      <c r="D185" s="25" t="s">
        <v>585</v>
      </c>
      <c r="E185" s="26" t="s">
        <v>45</v>
      </c>
      <c r="F185" s="27" t="s">
        <v>45</v>
      </c>
      <c r="G185" s="28" t="s">
        <v>45</v>
      </c>
      <c r="H185" s="29"/>
      <c r="I185" s="29" t="s">
        <v>46</v>
      </c>
      <c r="J185" s="30">
        <v>10</v>
      </c>
      <c r="K185" s="31">
        <f>253</f>
        <v>253</v>
      </c>
      <c r="L185" s="32" t="s">
        <v>904</v>
      </c>
      <c r="M185" s="31">
        <f>280.9</f>
        <v>280.89999999999998</v>
      </c>
      <c r="N185" s="32" t="s">
        <v>94</v>
      </c>
      <c r="O185" s="31">
        <f>249.6</f>
        <v>249.6</v>
      </c>
      <c r="P185" s="32" t="s">
        <v>907</v>
      </c>
      <c r="Q185" s="31">
        <f>278.1</f>
        <v>278.10000000000002</v>
      </c>
      <c r="R185" s="32" t="s">
        <v>94</v>
      </c>
      <c r="S185" s="33">
        <f>263.04</f>
        <v>263.04000000000002</v>
      </c>
      <c r="T185" s="30">
        <f>86175420</f>
        <v>86175420</v>
      </c>
      <c r="U185" s="30">
        <f>95820</f>
        <v>95820</v>
      </c>
      <c r="V185" s="30">
        <f>22898781464</f>
        <v>22898781464</v>
      </c>
      <c r="W185" s="30">
        <f>25302361</f>
        <v>25302361</v>
      </c>
      <c r="X185" s="34">
        <f>18</f>
        <v>18</v>
      </c>
    </row>
    <row r="186" spans="1:24" x14ac:dyDescent="0.15">
      <c r="A186" s="25" t="s">
        <v>903</v>
      </c>
      <c r="B186" s="25" t="s">
        <v>586</v>
      </c>
      <c r="C186" s="25" t="s">
        <v>587</v>
      </c>
      <c r="D186" s="25" t="s">
        <v>588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8350</f>
        <v>8350</v>
      </c>
      <c r="L186" s="32" t="s">
        <v>904</v>
      </c>
      <c r="M186" s="31">
        <f>9100</f>
        <v>9100</v>
      </c>
      <c r="N186" s="32" t="s">
        <v>905</v>
      </c>
      <c r="O186" s="31">
        <f>7300</f>
        <v>7300</v>
      </c>
      <c r="P186" s="32" t="s">
        <v>94</v>
      </c>
      <c r="Q186" s="31">
        <f>7395</f>
        <v>7395</v>
      </c>
      <c r="R186" s="32" t="s">
        <v>94</v>
      </c>
      <c r="S186" s="33">
        <f>8451.61</f>
        <v>8451.61</v>
      </c>
      <c r="T186" s="30">
        <f>8534</f>
        <v>8534</v>
      </c>
      <c r="U186" s="30">
        <f>2</f>
        <v>2</v>
      </c>
      <c r="V186" s="30">
        <f>70797170</f>
        <v>70797170</v>
      </c>
      <c r="W186" s="30">
        <f>14136</f>
        <v>14136</v>
      </c>
      <c r="X186" s="34">
        <f>18</f>
        <v>18</v>
      </c>
    </row>
    <row r="187" spans="1:24" x14ac:dyDescent="0.15">
      <c r="A187" s="25" t="s">
        <v>903</v>
      </c>
      <c r="B187" s="25" t="s">
        <v>590</v>
      </c>
      <c r="C187" s="25" t="s">
        <v>591</v>
      </c>
      <c r="D187" s="25" t="s">
        <v>592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6146</f>
        <v>6146</v>
      </c>
      <c r="L187" s="32" t="s">
        <v>909</v>
      </c>
      <c r="M187" s="31">
        <f>6598</f>
        <v>6598</v>
      </c>
      <c r="N187" s="32" t="s">
        <v>94</v>
      </c>
      <c r="O187" s="31">
        <f>5911</f>
        <v>5911</v>
      </c>
      <c r="P187" s="32" t="s">
        <v>905</v>
      </c>
      <c r="Q187" s="31">
        <f>6591</f>
        <v>6591</v>
      </c>
      <c r="R187" s="32" t="s">
        <v>94</v>
      </c>
      <c r="S187" s="33">
        <f>6202</f>
        <v>6202</v>
      </c>
      <c r="T187" s="30">
        <f>2623</f>
        <v>2623</v>
      </c>
      <c r="U187" s="30" t="str">
        <f>"－"</f>
        <v>－</v>
      </c>
      <c r="V187" s="30">
        <f>16461822</f>
        <v>16461822</v>
      </c>
      <c r="W187" s="30" t="str">
        <f>"－"</f>
        <v>－</v>
      </c>
      <c r="X187" s="34">
        <f>15</f>
        <v>15</v>
      </c>
    </row>
    <row r="188" spans="1:24" x14ac:dyDescent="0.15">
      <c r="A188" s="25" t="s">
        <v>903</v>
      </c>
      <c r="B188" s="25" t="s">
        <v>593</v>
      </c>
      <c r="C188" s="25" t="s">
        <v>594</v>
      </c>
      <c r="D188" s="25" t="s">
        <v>595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13705</f>
        <v>13705</v>
      </c>
      <c r="L188" s="32" t="s">
        <v>904</v>
      </c>
      <c r="M188" s="31">
        <f>14625</f>
        <v>14625</v>
      </c>
      <c r="N188" s="32" t="s">
        <v>819</v>
      </c>
      <c r="O188" s="31">
        <f>12850</f>
        <v>12850</v>
      </c>
      <c r="P188" s="32" t="s">
        <v>820</v>
      </c>
      <c r="Q188" s="31">
        <f>13300</f>
        <v>13300</v>
      </c>
      <c r="R188" s="32" t="s">
        <v>94</v>
      </c>
      <c r="S188" s="33">
        <f>13764.38</f>
        <v>13764.38</v>
      </c>
      <c r="T188" s="30">
        <f>707</f>
        <v>707</v>
      </c>
      <c r="U188" s="30" t="str">
        <f>"－"</f>
        <v>－</v>
      </c>
      <c r="V188" s="30">
        <f>9783840</f>
        <v>9783840</v>
      </c>
      <c r="W188" s="30" t="str">
        <f>"－"</f>
        <v>－</v>
      </c>
      <c r="X188" s="34">
        <f>16</f>
        <v>16</v>
      </c>
    </row>
    <row r="189" spans="1:24" x14ac:dyDescent="0.15">
      <c r="A189" s="25" t="s">
        <v>903</v>
      </c>
      <c r="B189" s="25" t="s">
        <v>596</v>
      </c>
      <c r="C189" s="25" t="s">
        <v>597</v>
      </c>
      <c r="D189" s="25" t="s">
        <v>598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6592</f>
        <v>6592</v>
      </c>
      <c r="L189" s="32" t="s">
        <v>904</v>
      </c>
      <c r="M189" s="31">
        <f>6775</f>
        <v>6775</v>
      </c>
      <c r="N189" s="32" t="s">
        <v>94</v>
      </c>
      <c r="O189" s="31">
        <f>6458</f>
        <v>6458</v>
      </c>
      <c r="P189" s="32" t="s">
        <v>905</v>
      </c>
      <c r="Q189" s="31">
        <f>6678</f>
        <v>6678</v>
      </c>
      <c r="R189" s="32" t="s">
        <v>94</v>
      </c>
      <c r="S189" s="33">
        <f>6646.67</f>
        <v>6646.67</v>
      </c>
      <c r="T189" s="30">
        <f>17239</f>
        <v>17239</v>
      </c>
      <c r="U189" s="30" t="str">
        <f>"－"</f>
        <v>－</v>
      </c>
      <c r="V189" s="30">
        <f>114409206</f>
        <v>114409206</v>
      </c>
      <c r="W189" s="30" t="str">
        <f>"－"</f>
        <v>－</v>
      </c>
      <c r="X189" s="34">
        <f>18</f>
        <v>18</v>
      </c>
    </row>
    <row r="190" spans="1:24" x14ac:dyDescent="0.15">
      <c r="A190" s="25" t="s">
        <v>903</v>
      </c>
      <c r="B190" s="25" t="s">
        <v>599</v>
      </c>
      <c r="C190" s="25" t="s">
        <v>600</v>
      </c>
      <c r="D190" s="25" t="s">
        <v>601</v>
      </c>
      <c r="E190" s="26" t="s">
        <v>45</v>
      </c>
      <c r="F190" s="27" t="s">
        <v>45</v>
      </c>
      <c r="G190" s="28" t="s">
        <v>45</v>
      </c>
      <c r="H190" s="29" t="s">
        <v>910</v>
      </c>
      <c r="I190" s="29"/>
      <c r="J190" s="30">
        <v>1</v>
      </c>
      <c r="K190" s="31">
        <f>104</f>
        <v>104</v>
      </c>
      <c r="L190" s="32" t="s">
        <v>904</v>
      </c>
      <c r="M190" s="31">
        <f>113</f>
        <v>113</v>
      </c>
      <c r="N190" s="32" t="s">
        <v>820</v>
      </c>
      <c r="O190" s="31">
        <f>95</f>
        <v>95</v>
      </c>
      <c r="P190" s="32" t="s">
        <v>905</v>
      </c>
      <c r="Q190" s="31">
        <f>107</f>
        <v>107</v>
      </c>
      <c r="R190" s="32" t="s">
        <v>94</v>
      </c>
      <c r="S190" s="33">
        <f>102.44</f>
        <v>102.44</v>
      </c>
      <c r="T190" s="30">
        <f>22596085</f>
        <v>22596085</v>
      </c>
      <c r="U190" s="30">
        <f>4</f>
        <v>4</v>
      </c>
      <c r="V190" s="30">
        <f>2320604483</f>
        <v>2320604483</v>
      </c>
      <c r="W190" s="30">
        <f>420</f>
        <v>420</v>
      </c>
      <c r="X190" s="34">
        <f>18</f>
        <v>18</v>
      </c>
    </row>
    <row r="191" spans="1:24" x14ac:dyDescent="0.15">
      <c r="A191" s="25" t="s">
        <v>903</v>
      </c>
      <c r="B191" s="25" t="s">
        <v>602</v>
      </c>
      <c r="C191" s="25" t="s">
        <v>603</v>
      </c>
      <c r="D191" s="25" t="s">
        <v>604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19195</f>
        <v>19195</v>
      </c>
      <c r="L191" s="32" t="s">
        <v>904</v>
      </c>
      <c r="M191" s="31">
        <f>22350</f>
        <v>22350</v>
      </c>
      <c r="N191" s="32" t="s">
        <v>820</v>
      </c>
      <c r="O191" s="31">
        <f>18965</f>
        <v>18965</v>
      </c>
      <c r="P191" s="32" t="s">
        <v>909</v>
      </c>
      <c r="Q191" s="31">
        <f>21545</f>
        <v>21545</v>
      </c>
      <c r="R191" s="32" t="s">
        <v>94</v>
      </c>
      <c r="S191" s="33">
        <f>20391.11</f>
        <v>20391.11</v>
      </c>
      <c r="T191" s="30">
        <f>48305</f>
        <v>48305</v>
      </c>
      <c r="U191" s="30">
        <f>3</f>
        <v>3</v>
      </c>
      <c r="V191" s="30">
        <f>1022346805</f>
        <v>1022346805</v>
      </c>
      <c r="W191" s="30">
        <f>61275</f>
        <v>61275</v>
      </c>
      <c r="X191" s="34">
        <f>18</f>
        <v>18</v>
      </c>
    </row>
    <row r="192" spans="1:24" x14ac:dyDescent="0.15">
      <c r="A192" s="25" t="s">
        <v>903</v>
      </c>
      <c r="B192" s="25" t="s">
        <v>605</v>
      </c>
      <c r="C192" s="25" t="s">
        <v>606</v>
      </c>
      <c r="D192" s="25" t="s">
        <v>607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5250</f>
        <v>5250</v>
      </c>
      <c r="L192" s="32" t="s">
        <v>904</v>
      </c>
      <c r="M192" s="31">
        <f>5250</f>
        <v>5250</v>
      </c>
      <c r="N192" s="32" t="s">
        <v>904</v>
      </c>
      <c r="O192" s="31">
        <f>4835</f>
        <v>4835</v>
      </c>
      <c r="P192" s="32" t="s">
        <v>820</v>
      </c>
      <c r="Q192" s="31">
        <f>4900</f>
        <v>4900</v>
      </c>
      <c r="R192" s="32" t="s">
        <v>94</v>
      </c>
      <c r="S192" s="33">
        <f>5064.17</f>
        <v>5064.17</v>
      </c>
      <c r="T192" s="30">
        <f>9676</f>
        <v>9676</v>
      </c>
      <c r="U192" s="30" t="str">
        <f>"－"</f>
        <v>－</v>
      </c>
      <c r="V192" s="30">
        <f>48262183</f>
        <v>48262183</v>
      </c>
      <c r="W192" s="30" t="str">
        <f>"－"</f>
        <v>－</v>
      </c>
      <c r="X192" s="34">
        <f>18</f>
        <v>18</v>
      </c>
    </row>
    <row r="193" spans="1:24" x14ac:dyDescent="0.15">
      <c r="A193" s="25" t="s">
        <v>903</v>
      </c>
      <c r="B193" s="25" t="s">
        <v>608</v>
      </c>
      <c r="C193" s="25" t="s">
        <v>609</v>
      </c>
      <c r="D193" s="25" t="s">
        <v>610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977</f>
        <v>977</v>
      </c>
      <c r="L193" s="32" t="s">
        <v>904</v>
      </c>
      <c r="M193" s="31">
        <f>1159</f>
        <v>1159</v>
      </c>
      <c r="N193" s="32" t="s">
        <v>820</v>
      </c>
      <c r="O193" s="31">
        <f>951</f>
        <v>951</v>
      </c>
      <c r="P193" s="32" t="s">
        <v>907</v>
      </c>
      <c r="Q193" s="31">
        <f>1131</f>
        <v>1131</v>
      </c>
      <c r="R193" s="32" t="s">
        <v>94</v>
      </c>
      <c r="S193" s="33">
        <f>1038.67</f>
        <v>1038.67</v>
      </c>
      <c r="T193" s="30">
        <f>113509920</f>
        <v>113509920</v>
      </c>
      <c r="U193" s="30">
        <f>7</f>
        <v>7</v>
      </c>
      <c r="V193" s="30">
        <f>120898342354</f>
        <v>120898342354</v>
      </c>
      <c r="W193" s="30">
        <f>6607</f>
        <v>6607</v>
      </c>
      <c r="X193" s="34">
        <f>18</f>
        <v>18</v>
      </c>
    </row>
    <row r="194" spans="1:24" x14ac:dyDescent="0.15">
      <c r="A194" s="25" t="s">
        <v>903</v>
      </c>
      <c r="B194" s="25" t="s">
        <v>611</v>
      </c>
      <c r="C194" s="25" t="s">
        <v>612</v>
      </c>
      <c r="D194" s="25" t="s">
        <v>613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2327</f>
        <v>2327</v>
      </c>
      <c r="L194" s="32" t="s">
        <v>904</v>
      </c>
      <c r="M194" s="31">
        <f>2378</f>
        <v>2378</v>
      </c>
      <c r="N194" s="32" t="s">
        <v>907</v>
      </c>
      <c r="O194" s="31">
        <f>2122</f>
        <v>2122</v>
      </c>
      <c r="P194" s="32" t="s">
        <v>820</v>
      </c>
      <c r="Q194" s="31">
        <f>2150</f>
        <v>2150</v>
      </c>
      <c r="R194" s="32" t="s">
        <v>94</v>
      </c>
      <c r="S194" s="33">
        <f>2259.33</f>
        <v>2259.33</v>
      </c>
      <c r="T194" s="30">
        <f>1477481</f>
        <v>1477481</v>
      </c>
      <c r="U194" s="30">
        <f>12</f>
        <v>12</v>
      </c>
      <c r="V194" s="30">
        <f>3298314353</f>
        <v>3298314353</v>
      </c>
      <c r="W194" s="30">
        <f>27936</f>
        <v>27936</v>
      </c>
      <c r="X194" s="34">
        <f>18</f>
        <v>18</v>
      </c>
    </row>
    <row r="195" spans="1:24" x14ac:dyDescent="0.15">
      <c r="A195" s="25" t="s">
        <v>903</v>
      </c>
      <c r="B195" s="25" t="s">
        <v>614</v>
      </c>
      <c r="C195" s="25" t="s">
        <v>615</v>
      </c>
      <c r="D195" s="25" t="s">
        <v>616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31570</f>
        <v>31570</v>
      </c>
      <c r="L195" s="32" t="s">
        <v>904</v>
      </c>
      <c r="M195" s="31">
        <f>32630</f>
        <v>32630</v>
      </c>
      <c r="N195" s="32" t="s">
        <v>905</v>
      </c>
      <c r="O195" s="31">
        <f>26860</f>
        <v>26860</v>
      </c>
      <c r="P195" s="32" t="s">
        <v>820</v>
      </c>
      <c r="Q195" s="31">
        <f>28940</f>
        <v>28940</v>
      </c>
      <c r="R195" s="32" t="s">
        <v>94</v>
      </c>
      <c r="S195" s="33">
        <f>30686.11</f>
        <v>30686.11</v>
      </c>
      <c r="T195" s="30">
        <f>129416</f>
        <v>129416</v>
      </c>
      <c r="U195" s="30" t="str">
        <f>"－"</f>
        <v>－</v>
      </c>
      <c r="V195" s="30">
        <f>3880996270</f>
        <v>3880996270</v>
      </c>
      <c r="W195" s="30" t="str">
        <f>"－"</f>
        <v>－</v>
      </c>
      <c r="X195" s="34">
        <f>18</f>
        <v>18</v>
      </c>
    </row>
    <row r="196" spans="1:24" x14ac:dyDescent="0.15">
      <c r="A196" s="25" t="s">
        <v>903</v>
      </c>
      <c r="B196" s="25" t="s">
        <v>617</v>
      </c>
      <c r="C196" s="25" t="s">
        <v>618</v>
      </c>
      <c r="D196" s="25" t="s">
        <v>619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2846</f>
        <v>2846</v>
      </c>
      <c r="L196" s="32" t="s">
        <v>904</v>
      </c>
      <c r="M196" s="31">
        <f>3125</f>
        <v>3125</v>
      </c>
      <c r="N196" s="32" t="s">
        <v>820</v>
      </c>
      <c r="O196" s="31">
        <f>2785</f>
        <v>2785</v>
      </c>
      <c r="P196" s="32" t="s">
        <v>905</v>
      </c>
      <c r="Q196" s="31">
        <f>2980</f>
        <v>2980</v>
      </c>
      <c r="R196" s="32" t="s">
        <v>94</v>
      </c>
      <c r="S196" s="33">
        <f>2888.22</f>
        <v>2888.22</v>
      </c>
      <c r="T196" s="30">
        <f>709678</f>
        <v>709678</v>
      </c>
      <c r="U196" s="30">
        <f>12</f>
        <v>12</v>
      </c>
      <c r="V196" s="30">
        <f>2092349206</f>
        <v>2092349206</v>
      </c>
      <c r="W196" s="30">
        <f>35010</f>
        <v>35010</v>
      </c>
      <c r="X196" s="34">
        <f>18</f>
        <v>18</v>
      </c>
    </row>
    <row r="197" spans="1:24" x14ac:dyDescent="0.15">
      <c r="A197" s="25" t="s">
        <v>903</v>
      </c>
      <c r="B197" s="25" t="s">
        <v>620</v>
      </c>
      <c r="C197" s="25" t="s">
        <v>621</v>
      </c>
      <c r="D197" s="25" t="s">
        <v>622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8488</f>
        <v>8488</v>
      </c>
      <c r="L197" s="32" t="s">
        <v>904</v>
      </c>
      <c r="M197" s="31">
        <f>8646</f>
        <v>8646</v>
      </c>
      <c r="N197" s="32" t="s">
        <v>909</v>
      </c>
      <c r="O197" s="31">
        <f>7001</f>
        <v>7001</v>
      </c>
      <c r="P197" s="32" t="s">
        <v>820</v>
      </c>
      <c r="Q197" s="31">
        <f>7821</f>
        <v>7821</v>
      </c>
      <c r="R197" s="32" t="s">
        <v>94</v>
      </c>
      <c r="S197" s="33">
        <f>7908.06</f>
        <v>7908.06</v>
      </c>
      <c r="T197" s="30">
        <f>108353</f>
        <v>108353</v>
      </c>
      <c r="U197" s="30">
        <f>22</f>
        <v>22</v>
      </c>
      <c r="V197" s="30">
        <f>853913906</f>
        <v>853913906</v>
      </c>
      <c r="W197" s="30">
        <f>181188</f>
        <v>181188</v>
      </c>
      <c r="X197" s="34">
        <f>18</f>
        <v>18</v>
      </c>
    </row>
    <row r="198" spans="1:24" x14ac:dyDescent="0.15">
      <c r="A198" s="25" t="s">
        <v>903</v>
      </c>
      <c r="B198" s="25" t="s">
        <v>623</v>
      </c>
      <c r="C198" s="25" t="s">
        <v>624</v>
      </c>
      <c r="D198" s="25" t="s">
        <v>625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14295</f>
        <v>14295</v>
      </c>
      <c r="L198" s="32" t="s">
        <v>811</v>
      </c>
      <c r="M198" s="31">
        <f>15385</f>
        <v>15385</v>
      </c>
      <c r="N198" s="32" t="s">
        <v>819</v>
      </c>
      <c r="O198" s="31">
        <f>14295</f>
        <v>14295</v>
      </c>
      <c r="P198" s="32" t="s">
        <v>811</v>
      </c>
      <c r="Q198" s="31">
        <f>15080</f>
        <v>15080</v>
      </c>
      <c r="R198" s="32" t="s">
        <v>94</v>
      </c>
      <c r="S198" s="33">
        <f>14797.14</f>
        <v>14797.14</v>
      </c>
      <c r="T198" s="30">
        <f>454</f>
        <v>454</v>
      </c>
      <c r="U198" s="30" t="str">
        <f>"－"</f>
        <v>－</v>
      </c>
      <c r="V198" s="30">
        <f>6724575</f>
        <v>6724575</v>
      </c>
      <c r="W198" s="30" t="str">
        <f>"－"</f>
        <v>－</v>
      </c>
      <c r="X198" s="34">
        <f>14</f>
        <v>14</v>
      </c>
    </row>
    <row r="199" spans="1:24" x14ac:dyDescent="0.15">
      <c r="A199" s="25" t="s">
        <v>903</v>
      </c>
      <c r="B199" s="25" t="s">
        <v>626</v>
      </c>
      <c r="C199" s="25" t="s">
        <v>627</v>
      </c>
      <c r="D199" s="25" t="s">
        <v>628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20330</f>
        <v>20330</v>
      </c>
      <c r="L199" s="32" t="s">
        <v>904</v>
      </c>
      <c r="M199" s="31">
        <f>20550</f>
        <v>20550</v>
      </c>
      <c r="N199" s="32" t="s">
        <v>905</v>
      </c>
      <c r="O199" s="31">
        <f>18815</f>
        <v>18815</v>
      </c>
      <c r="P199" s="32" t="s">
        <v>820</v>
      </c>
      <c r="Q199" s="31">
        <f>19550</f>
        <v>19550</v>
      </c>
      <c r="R199" s="32" t="s">
        <v>94</v>
      </c>
      <c r="S199" s="33">
        <f>20003.61</f>
        <v>20003.61</v>
      </c>
      <c r="T199" s="30">
        <f>46530</f>
        <v>46530</v>
      </c>
      <c r="U199" s="30">
        <f>23501</f>
        <v>23501</v>
      </c>
      <c r="V199" s="30">
        <f>927974865</f>
        <v>927974865</v>
      </c>
      <c r="W199" s="30">
        <f>468398285</f>
        <v>468398285</v>
      </c>
      <c r="X199" s="34">
        <f>18</f>
        <v>18</v>
      </c>
    </row>
    <row r="200" spans="1:24" x14ac:dyDescent="0.15">
      <c r="A200" s="25" t="s">
        <v>903</v>
      </c>
      <c r="B200" s="25" t="s">
        <v>629</v>
      </c>
      <c r="C200" s="25" t="s">
        <v>630</v>
      </c>
      <c r="D200" s="25" t="s">
        <v>631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13390</f>
        <v>13390</v>
      </c>
      <c r="L200" s="32" t="s">
        <v>904</v>
      </c>
      <c r="M200" s="31">
        <f>14000</f>
        <v>14000</v>
      </c>
      <c r="N200" s="32" t="s">
        <v>819</v>
      </c>
      <c r="O200" s="31">
        <f>13270</f>
        <v>13270</v>
      </c>
      <c r="P200" s="32" t="s">
        <v>909</v>
      </c>
      <c r="Q200" s="31">
        <f>13925</f>
        <v>13925</v>
      </c>
      <c r="R200" s="32" t="s">
        <v>94</v>
      </c>
      <c r="S200" s="33">
        <f>13743</f>
        <v>13743</v>
      </c>
      <c r="T200" s="30">
        <f>414</f>
        <v>414</v>
      </c>
      <c r="U200" s="30" t="str">
        <f t="shared" ref="U200:U212" si="4">"－"</f>
        <v>－</v>
      </c>
      <c r="V200" s="30">
        <f>5673590</f>
        <v>5673590</v>
      </c>
      <c r="W200" s="30" t="str">
        <f t="shared" ref="W200:W212" si="5">"－"</f>
        <v>－</v>
      </c>
      <c r="X200" s="34">
        <f>15</f>
        <v>15</v>
      </c>
    </row>
    <row r="201" spans="1:24" x14ac:dyDescent="0.15">
      <c r="A201" s="25" t="s">
        <v>903</v>
      </c>
      <c r="B201" s="25" t="s">
        <v>632</v>
      </c>
      <c r="C201" s="25" t="s">
        <v>633</v>
      </c>
      <c r="D201" s="25" t="s">
        <v>634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18200</f>
        <v>18200</v>
      </c>
      <c r="L201" s="32" t="s">
        <v>904</v>
      </c>
      <c r="M201" s="31">
        <f>18685</f>
        <v>18685</v>
      </c>
      <c r="N201" s="32" t="s">
        <v>907</v>
      </c>
      <c r="O201" s="31">
        <f>15680</f>
        <v>15680</v>
      </c>
      <c r="P201" s="32" t="s">
        <v>820</v>
      </c>
      <c r="Q201" s="31">
        <f>16240</f>
        <v>16240</v>
      </c>
      <c r="R201" s="32" t="s">
        <v>94</v>
      </c>
      <c r="S201" s="33">
        <f>17392.22</f>
        <v>17392.22</v>
      </c>
      <c r="T201" s="30">
        <f>50711</f>
        <v>50711</v>
      </c>
      <c r="U201" s="30" t="str">
        <f t="shared" si="4"/>
        <v>－</v>
      </c>
      <c r="V201" s="30">
        <f>866628690</f>
        <v>866628690</v>
      </c>
      <c r="W201" s="30" t="str">
        <f t="shared" si="5"/>
        <v>－</v>
      </c>
      <c r="X201" s="34">
        <f>18</f>
        <v>18</v>
      </c>
    </row>
    <row r="202" spans="1:24" x14ac:dyDescent="0.15">
      <c r="A202" s="25" t="s">
        <v>903</v>
      </c>
      <c r="B202" s="25" t="s">
        <v>635</v>
      </c>
      <c r="C202" s="25" t="s">
        <v>636</v>
      </c>
      <c r="D202" s="25" t="s">
        <v>637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4000</f>
        <v>4000</v>
      </c>
      <c r="L202" s="32" t="s">
        <v>904</v>
      </c>
      <c r="M202" s="31">
        <f>4290</f>
        <v>4290</v>
      </c>
      <c r="N202" s="32" t="s">
        <v>94</v>
      </c>
      <c r="O202" s="31">
        <f>3920</f>
        <v>3920</v>
      </c>
      <c r="P202" s="32" t="s">
        <v>907</v>
      </c>
      <c r="Q202" s="31">
        <f>4205</f>
        <v>4205</v>
      </c>
      <c r="R202" s="32" t="s">
        <v>94</v>
      </c>
      <c r="S202" s="33">
        <f>4081.67</f>
        <v>4081.67</v>
      </c>
      <c r="T202" s="30">
        <f>11326</f>
        <v>11326</v>
      </c>
      <c r="U202" s="30" t="str">
        <f t="shared" si="4"/>
        <v>－</v>
      </c>
      <c r="V202" s="30">
        <f>47070930</f>
        <v>47070930</v>
      </c>
      <c r="W202" s="30" t="str">
        <f t="shared" si="5"/>
        <v>－</v>
      </c>
      <c r="X202" s="34">
        <f>18</f>
        <v>18</v>
      </c>
    </row>
    <row r="203" spans="1:24" x14ac:dyDescent="0.15">
      <c r="A203" s="25" t="s">
        <v>903</v>
      </c>
      <c r="B203" s="25" t="s">
        <v>638</v>
      </c>
      <c r="C203" s="25" t="s">
        <v>639</v>
      </c>
      <c r="D203" s="25" t="s">
        <v>640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11850</f>
        <v>11850</v>
      </c>
      <c r="L203" s="32" t="s">
        <v>904</v>
      </c>
      <c r="M203" s="31">
        <f>12525</f>
        <v>12525</v>
      </c>
      <c r="N203" s="32" t="s">
        <v>905</v>
      </c>
      <c r="O203" s="31">
        <f>11780</f>
        <v>11780</v>
      </c>
      <c r="P203" s="32" t="s">
        <v>820</v>
      </c>
      <c r="Q203" s="31">
        <f>11875</f>
        <v>11875</v>
      </c>
      <c r="R203" s="32" t="s">
        <v>94</v>
      </c>
      <c r="S203" s="33">
        <f>12114.38</f>
        <v>12114.38</v>
      </c>
      <c r="T203" s="30">
        <f>4400</f>
        <v>4400</v>
      </c>
      <c r="U203" s="30" t="str">
        <f t="shared" si="4"/>
        <v>－</v>
      </c>
      <c r="V203" s="30">
        <f>53196095</f>
        <v>53196095</v>
      </c>
      <c r="W203" s="30" t="str">
        <f t="shared" si="5"/>
        <v>－</v>
      </c>
      <c r="X203" s="34">
        <f>8</f>
        <v>8</v>
      </c>
    </row>
    <row r="204" spans="1:24" x14ac:dyDescent="0.15">
      <c r="A204" s="25" t="s">
        <v>903</v>
      </c>
      <c r="B204" s="25" t="s">
        <v>641</v>
      </c>
      <c r="C204" s="25" t="s">
        <v>642</v>
      </c>
      <c r="D204" s="25" t="s">
        <v>643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 t="str">
        <f>"－"</f>
        <v>－</v>
      </c>
      <c r="L204" s="32"/>
      <c r="M204" s="31" t="str">
        <f>"－"</f>
        <v>－</v>
      </c>
      <c r="N204" s="32"/>
      <c r="O204" s="31" t="str">
        <f>"－"</f>
        <v>－</v>
      </c>
      <c r="P204" s="32"/>
      <c r="Q204" s="31" t="str">
        <f>"－"</f>
        <v>－</v>
      </c>
      <c r="R204" s="32"/>
      <c r="S204" s="33" t="str">
        <f>"－"</f>
        <v>－</v>
      </c>
      <c r="T204" s="30" t="str">
        <f>"－"</f>
        <v>－</v>
      </c>
      <c r="U204" s="30" t="str">
        <f t="shared" si="4"/>
        <v>－</v>
      </c>
      <c r="V204" s="30" t="str">
        <f>"－"</f>
        <v>－</v>
      </c>
      <c r="W204" s="30" t="str">
        <f t="shared" si="5"/>
        <v>－</v>
      </c>
      <c r="X204" s="34" t="str">
        <f>"－"</f>
        <v>－</v>
      </c>
    </row>
    <row r="205" spans="1:24" x14ac:dyDescent="0.15">
      <c r="A205" s="25" t="s">
        <v>903</v>
      </c>
      <c r="B205" s="25" t="s">
        <v>644</v>
      </c>
      <c r="C205" s="25" t="s">
        <v>645</v>
      </c>
      <c r="D205" s="25" t="s">
        <v>646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13850</f>
        <v>13850</v>
      </c>
      <c r="L205" s="32" t="s">
        <v>904</v>
      </c>
      <c r="M205" s="31">
        <f>14335</f>
        <v>14335</v>
      </c>
      <c r="N205" s="32" t="s">
        <v>70</v>
      </c>
      <c r="O205" s="31">
        <f>13850</f>
        <v>13850</v>
      </c>
      <c r="P205" s="32" t="s">
        <v>904</v>
      </c>
      <c r="Q205" s="31">
        <f>13985</f>
        <v>13985</v>
      </c>
      <c r="R205" s="32" t="s">
        <v>908</v>
      </c>
      <c r="S205" s="33">
        <f>14036</f>
        <v>14036</v>
      </c>
      <c r="T205" s="30">
        <f>233</f>
        <v>233</v>
      </c>
      <c r="U205" s="30" t="str">
        <f t="shared" si="4"/>
        <v>－</v>
      </c>
      <c r="V205" s="30">
        <f>3267265</f>
        <v>3267265</v>
      </c>
      <c r="W205" s="30" t="str">
        <f t="shared" si="5"/>
        <v>－</v>
      </c>
      <c r="X205" s="34">
        <f>5</f>
        <v>5</v>
      </c>
    </row>
    <row r="206" spans="1:24" x14ac:dyDescent="0.15">
      <c r="A206" s="25" t="s">
        <v>903</v>
      </c>
      <c r="B206" s="25" t="s">
        <v>647</v>
      </c>
      <c r="C206" s="25" t="s">
        <v>648</v>
      </c>
      <c r="D206" s="25" t="s">
        <v>649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12960</f>
        <v>12960</v>
      </c>
      <c r="L206" s="32" t="s">
        <v>820</v>
      </c>
      <c r="M206" s="31">
        <f>12960</f>
        <v>12960</v>
      </c>
      <c r="N206" s="32" t="s">
        <v>820</v>
      </c>
      <c r="O206" s="31">
        <f>12960</f>
        <v>12960</v>
      </c>
      <c r="P206" s="32" t="s">
        <v>820</v>
      </c>
      <c r="Q206" s="31">
        <f>12960</f>
        <v>12960</v>
      </c>
      <c r="R206" s="32" t="s">
        <v>820</v>
      </c>
      <c r="S206" s="33">
        <f>12960</f>
        <v>12960</v>
      </c>
      <c r="T206" s="30">
        <f>61</f>
        <v>61</v>
      </c>
      <c r="U206" s="30" t="str">
        <f t="shared" si="4"/>
        <v>－</v>
      </c>
      <c r="V206" s="30">
        <f>790560</f>
        <v>790560</v>
      </c>
      <c r="W206" s="30" t="str">
        <f t="shared" si="5"/>
        <v>－</v>
      </c>
      <c r="X206" s="34">
        <f>1</f>
        <v>1</v>
      </c>
    </row>
    <row r="207" spans="1:24" x14ac:dyDescent="0.15">
      <c r="A207" s="25" t="s">
        <v>903</v>
      </c>
      <c r="B207" s="25" t="s">
        <v>650</v>
      </c>
      <c r="C207" s="25" t="s">
        <v>651</v>
      </c>
      <c r="D207" s="25" t="s">
        <v>652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12510</f>
        <v>12510</v>
      </c>
      <c r="L207" s="32" t="s">
        <v>909</v>
      </c>
      <c r="M207" s="31">
        <f>12925</f>
        <v>12925</v>
      </c>
      <c r="N207" s="32" t="s">
        <v>905</v>
      </c>
      <c r="O207" s="31">
        <f>12145</f>
        <v>12145</v>
      </c>
      <c r="P207" s="32" t="s">
        <v>815</v>
      </c>
      <c r="Q207" s="31">
        <f>12145</f>
        <v>12145</v>
      </c>
      <c r="R207" s="32" t="s">
        <v>815</v>
      </c>
      <c r="S207" s="33">
        <f>12540.91</f>
        <v>12540.91</v>
      </c>
      <c r="T207" s="30">
        <f>269</f>
        <v>269</v>
      </c>
      <c r="U207" s="30" t="str">
        <f t="shared" si="4"/>
        <v>－</v>
      </c>
      <c r="V207" s="30">
        <f>3440485</f>
        <v>3440485</v>
      </c>
      <c r="W207" s="30" t="str">
        <f t="shared" si="5"/>
        <v>－</v>
      </c>
      <c r="X207" s="34">
        <f>11</f>
        <v>11</v>
      </c>
    </row>
    <row r="208" spans="1:24" x14ac:dyDescent="0.15">
      <c r="A208" s="25" t="s">
        <v>903</v>
      </c>
      <c r="B208" s="25" t="s">
        <v>653</v>
      </c>
      <c r="C208" s="25" t="s">
        <v>654</v>
      </c>
      <c r="D208" s="25" t="s">
        <v>655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14085</f>
        <v>14085</v>
      </c>
      <c r="L208" s="32" t="s">
        <v>814</v>
      </c>
      <c r="M208" s="31">
        <f>14085</f>
        <v>14085</v>
      </c>
      <c r="N208" s="32" t="s">
        <v>814</v>
      </c>
      <c r="O208" s="31">
        <f>13560</f>
        <v>13560</v>
      </c>
      <c r="P208" s="32" t="s">
        <v>820</v>
      </c>
      <c r="Q208" s="31">
        <f>13560</f>
        <v>13560</v>
      </c>
      <c r="R208" s="32" t="s">
        <v>820</v>
      </c>
      <c r="S208" s="33">
        <f>13822.5</f>
        <v>13822.5</v>
      </c>
      <c r="T208" s="30">
        <f>11</f>
        <v>11</v>
      </c>
      <c r="U208" s="30" t="str">
        <f t="shared" si="4"/>
        <v>－</v>
      </c>
      <c r="V208" s="30">
        <f>154410</f>
        <v>154410</v>
      </c>
      <c r="W208" s="30" t="str">
        <f t="shared" si="5"/>
        <v>－</v>
      </c>
      <c r="X208" s="34">
        <f>2</f>
        <v>2</v>
      </c>
    </row>
    <row r="209" spans="1:24" x14ac:dyDescent="0.15">
      <c r="A209" s="25" t="s">
        <v>903</v>
      </c>
      <c r="B209" s="25" t="s">
        <v>656</v>
      </c>
      <c r="C209" s="25" t="s">
        <v>657</v>
      </c>
      <c r="D209" s="25" t="s">
        <v>658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 t="str">
        <f>"－"</f>
        <v>－</v>
      </c>
      <c r="L209" s="32"/>
      <c r="M209" s="31" t="str">
        <f>"－"</f>
        <v>－</v>
      </c>
      <c r="N209" s="32"/>
      <c r="O209" s="31" t="str">
        <f>"－"</f>
        <v>－</v>
      </c>
      <c r="P209" s="32"/>
      <c r="Q209" s="31" t="str">
        <f>"－"</f>
        <v>－</v>
      </c>
      <c r="R209" s="32"/>
      <c r="S209" s="33" t="str">
        <f>"－"</f>
        <v>－</v>
      </c>
      <c r="T209" s="30" t="str">
        <f>"－"</f>
        <v>－</v>
      </c>
      <c r="U209" s="30" t="str">
        <f t="shared" si="4"/>
        <v>－</v>
      </c>
      <c r="V209" s="30" t="str">
        <f>"－"</f>
        <v>－</v>
      </c>
      <c r="W209" s="30" t="str">
        <f t="shared" si="5"/>
        <v>－</v>
      </c>
      <c r="X209" s="34" t="str">
        <f>"－"</f>
        <v>－</v>
      </c>
    </row>
    <row r="210" spans="1:24" x14ac:dyDescent="0.15">
      <c r="A210" s="25" t="s">
        <v>903</v>
      </c>
      <c r="B210" s="25" t="s">
        <v>659</v>
      </c>
      <c r="C210" s="25" t="s">
        <v>660</v>
      </c>
      <c r="D210" s="25" t="s">
        <v>661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9490</f>
        <v>9490</v>
      </c>
      <c r="L210" s="32" t="s">
        <v>904</v>
      </c>
      <c r="M210" s="31">
        <f>9564</f>
        <v>9564</v>
      </c>
      <c r="N210" s="32" t="s">
        <v>906</v>
      </c>
      <c r="O210" s="31">
        <f>9134</f>
        <v>9134</v>
      </c>
      <c r="P210" s="32" t="s">
        <v>820</v>
      </c>
      <c r="Q210" s="31">
        <f>9264</f>
        <v>9264</v>
      </c>
      <c r="R210" s="32" t="s">
        <v>94</v>
      </c>
      <c r="S210" s="33">
        <f>9376.33</f>
        <v>9376.33</v>
      </c>
      <c r="T210" s="30">
        <f>1493</f>
        <v>1493</v>
      </c>
      <c r="U210" s="30" t="str">
        <f t="shared" si="4"/>
        <v>－</v>
      </c>
      <c r="V210" s="30">
        <f>13938853</f>
        <v>13938853</v>
      </c>
      <c r="W210" s="30" t="str">
        <f t="shared" si="5"/>
        <v>－</v>
      </c>
      <c r="X210" s="34">
        <f>9</f>
        <v>9</v>
      </c>
    </row>
    <row r="211" spans="1:24" x14ac:dyDescent="0.15">
      <c r="A211" s="25" t="s">
        <v>903</v>
      </c>
      <c r="B211" s="25" t="s">
        <v>662</v>
      </c>
      <c r="C211" s="25" t="s">
        <v>663</v>
      </c>
      <c r="D211" s="25" t="s">
        <v>664</v>
      </c>
      <c r="E211" s="26" t="s">
        <v>45</v>
      </c>
      <c r="F211" s="27" t="s">
        <v>45</v>
      </c>
      <c r="G211" s="28" t="s">
        <v>45</v>
      </c>
      <c r="H211" s="29"/>
      <c r="I211" s="29" t="s">
        <v>589</v>
      </c>
      <c r="J211" s="30">
        <v>1</v>
      </c>
      <c r="K211" s="31">
        <f>10550</f>
        <v>10550</v>
      </c>
      <c r="L211" s="32" t="s">
        <v>904</v>
      </c>
      <c r="M211" s="31">
        <f>10670</f>
        <v>10670</v>
      </c>
      <c r="N211" s="32" t="s">
        <v>905</v>
      </c>
      <c r="O211" s="31">
        <f>9867</f>
        <v>9867</v>
      </c>
      <c r="P211" s="32" t="s">
        <v>66</v>
      </c>
      <c r="Q211" s="31">
        <f>10170</f>
        <v>10170</v>
      </c>
      <c r="R211" s="32" t="s">
        <v>94</v>
      </c>
      <c r="S211" s="33">
        <f>10326.67</f>
        <v>10326.67</v>
      </c>
      <c r="T211" s="30">
        <f>19989</f>
        <v>19989</v>
      </c>
      <c r="U211" s="30" t="str">
        <f t="shared" si="4"/>
        <v>－</v>
      </c>
      <c r="V211" s="30">
        <f>205394538</f>
        <v>205394538</v>
      </c>
      <c r="W211" s="30" t="str">
        <f t="shared" si="5"/>
        <v>－</v>
      </c>
      <c r="X211" s="34">
        <f>18</f>
        <v>18</v>
      </c>
    </row>
    <row r="212" spans="1:24" x14ac:dyDescent="0.15">
      <c r="A212" s="25" t="s">
        <v>903</v>
      </c>
      <c r="B212" s="25" t="s">
        <v>665</v>
      </c>
      <c r="C212" s="25" t="s">
        <v>666</v>
      </c>
      <c r="D212" s="25" t="s">
        <v>667</v>
      </c>
      <c r="E212" s="26" t="s">
        <v>45</v>
      </c>
      <c r="F212" s="27" t="s">
        <v>45</v>
      </c>
      <c r="G212" s="28" t="s">
        <v>45</v>
      </c>
      <c r="H212" s="29"/>
      <c r="I212" s="29" t="s">
        <v>589</v>
      </c>
      <c r="J212" s="30">
        <v>1</v>
      </c>
      <c r="K212" s="31">
        <f>9438</f>
        <v>9438</v>
      </c>
      <c r="L212" s="32" t="s">
        <v>811</v>
      </c>
      <c r="M212" s="31">
        <f>9652</f>
        <v>9652</v>
      </c>
      <c r="N212" s="32" t="s">
        <v>695</v>
      </c>
      <c r="O212" s="31">
        <f>9187</f>
        <v>9187</v>
      </c>
      <c r="P212" s="32" t="s">
        <v>820</v>
      </c>
      <c r="Q212" s="31">
        <f>9230</f>
        <v>9230</v>
      </c>
      <c r="R212" s="32" t="s">
        <v>815</v>
      </c>
      <c r="S212" s="33">
        <f>9445.13</f>
        <v>9445.1299999999992</v>
      </c>
      <c r="T212" s="30">
        <f>1750</f>
        <v>1750</v>
      </c>
      <c r="U212" s="30" t="str">
        <f t="shared" si="4"/>
        <v>－</v>
      </c>
      <c r="V212" s="30">
        <f>16463872</f>
        <v>16463872</v>
      </c>
      <c r="W212" s="30" t="str">
        <f t="shared" si="5"/>
        <v>－</v>
      </c>
      <c r="X212" s="34">
        <f>8</f>
        <v>8</v>
      </c>
    </row>
    <row r="213" spans="1:24" x14ac:dyDescent="0.15">
      <c r="A213" s="25" t="s">
        <v>903</v>
      </c>
      <c r="B213" s="25" t="s">
        <v>668</v>
      </c>
      <c r="C213" s="25" t="s">
        <v>669</v>
      </c>
      <c r="D213" s="25" t="s">
        <v>670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986.7</f>
        <v>986.7</v>
      </c>
      <c r="L213" s="32" t="s">
        <v>904</v>
      </c>
      <c r="M213" s="31">
        <f>986.7</f>
        <v>986.7</v>
      </c>
      <c r="N213" s="32" t="s">
        <v>904</v>
      </c>
      <c r="O213" s="31">
        <f>974.4</f>
        <v>974.4</v>
      </c>
      <c r="P213" s="32" t="s">
        <v>814</v>
      </c>
      <c r="Q213" s="31">
        <f>980.6</f>
        <v>980.6</v>
      </c>
      <c r="R213" s="32" t="s">
        <v>94</v>
      </c>
      <c r="S213" s="33">
        <f>980.26</f>
        <v>980.26</v>
      </c>
      <c r="T213" s="30">
        <f>3527780</f>
        <v>3527780</v>
      </c>
      <c r="U213" s="30">
        <f>1400250</f>
        <v>1400250</v>
      </c>
      <c r="V213" s="30">
        <f>3458320254</f>
        <v>3458320254</v>
      </c>
      <c r="W213" s="30">
        <f>1374250350</f>
        <v>1374250350</v>
      </c>
      <c r="X213" s="34">
        <f>18</f>
        <v>18</v>
      </c>
    </row>
    <row r="214" spans="1:24" x14ac:dyDescent="0.15">
      <c r="A214" s="25" t="s">
        <v>903</v>
      </c>
      <c r="B214" s="25" t="s">
        <v>671</v>
      </c>
      <c r="C214" s="25" t="s">
        <v>672</v>
      </c>
      <c r="D214" s="25" t="s">
        <v>673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1008</f>
        <v>1008</v>
      </c>
      <c r="L214" s="32" t="s">
        <v>904</v>
      </c>
      <c r="M214" s="31">
        <f>1008</f>
        <v>1008</v>
      </c>
      <c r="N214" s="32" t="s">
        <v>904</v>
      </c>
      <c r="O214" s="31">
        <f>987</f>
        <v>987</v>
      </c>
      <c r="P214" s="32" t="s">
        <v>820</v>
      </c>
      <c r="Q214" s="31">
        <f>993</f>
        <v>993</v>
      </c>
      <c r="R214" s="32" t="s">
        <v>94</v>
      </c>
      <c r="S214" s="33">
        <f>997.94</f>
        <v>997.94</v>
      </c>
      <c r="T214" s="30">
        <f>2045730</f>
        <v>2045730</v>
      </c>
      <c r="U214" s="30">
        <f>527510</f>
        <v>527510</v>
      </c>
      <c r="V214" s="30">
        <f>2042144959</f>
        <v>2042144959</v>
      </c>
      <c r="W214" s="30">
        <f>527673295</f>
        <v>527673295</v>
      </c>
      <c r="X214" s="34">
        <f>18</f>
        <v>18</v>
      </c>
    </row>
    <row r="215" spans="1:24" x14ac:dyDescent="0.15">
      <c r="A215" s="25" t="s">
        <v>903</v>
      </c>
      <c r="B215" s="25" t="s">
        <v>674</v>
      </c>
      <c r="C215" s="25" t="s">
        <v>675</v>
      </c>
      <c r="D215" s="25" t="s">
        <v>676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998.8</f>
        <v>998.8</v>
      </c>
      <c r="L215" s="32" t="s">
        <v>904</v>
      </c>
      <c r="M215" s="31">
        <f>998.8</f>
        <v>998.8</v>
      </c>
      <c r="N215" s="32" t="s">
        <v>904</v>
      </c>
      <c r="O215" s="31">
        <f>971.6</f>
        <v>971.6</v>
      </c>
      <c r="P215" s="32" t="s">
        <v>906</v>
      </c>
      <c r="Q215" s="31">
        <f>982</f>
        <v>982</v>
      </c>
      <c r="R215" s="32" t="s">
        <v>94</v>
      </c>
      <c r="S215" s="33">
        <f>982.39</f>
        <v>982.39</v>
      </c>
      <c r="T215" s="30">
        <f>6741940</f>
        <v>6741940</v>
      </c>
      <c r="U215" s="30">
        <f>3419570</f>
        <v>3419570</v>
      </c>
      <c r="V215" s="30">
        <f>6628983148</f>
        <v>6628983148</v>
      </c>
      <c r="W215" s="30">
        <f>3358297949</f>
        <v>3358297949</v>
      </c>
      <c r="X215" s="34">
        <f>18</f>
        <v>18</v>
      </c>
    </row>
    <row r="216" spans="1:24" x14ac:dyDescent="0.15">
      <c r="A216" s="25" t="s">
        <v>903</v>
      </c>
      <c r="B216" s="25" t="s">
        <v>677</v>
      </c>
      <c r="C216" s="25" t="s">
        <v>678</v>
      </c>
      <c r="D216" s="25" t="s">
        <v>679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1595</f>
        <v>1595</v>
      </c>
      <c r="L216" s="32" t="s">
        <v>904</v>
      </c>
      <c r="M216" s="31">
        <f>1645.5</f>
        <v>1645.5</v>
      </c>
      <c r="N216" s="32" t="s">
        <v>905</v>
      </c>
      <c r="O216" s="31">
        <f>1472</f>
        <v>1472</v>
      </c>
      <c r="P216" s="32" t="s">
        <v>820</v>
      </c>
      <c r="Q216" s="31">
        <f>1531.5</f>
        <v>1531.5</v>
      </c>
      <c r="R216" s="32" t="s">
        <v>94</v>
      </c>
      <c r="S216" s="33">
        <f>1582.61</f>
        <v>1582.61</v>
      </c>
      <c r="T216" s="30">
        <f>1965180</f>
        <v>1965180</v>
      </c>
      <c r="U216" s="30">
        <f>956240</f>
        <v>956240</v>
      </c>
      <c r="V216" s="30">
        <f>3066519057</f>
        <v>3066519057</v>
      </c>
      <c r="W216" s="30">
        <f>1481473467</f>
        <v>1481473467</v>
      </c>
      <c r="X216" s="34">
        <f>18</f>
        <v>18</v>
      </c>
    </row>
    <row r="217" spans="1:24" x14ac:dyDescent="0.15">
      <c r="A217" s="25" t="s">
        <v>903</v>
      </c>
      <c r="B217" s="25" t="s">
        <v>680</v>
      </c>
      <c r="C217" s="25" t="s">
        <v>681</v>
      </c>
      <c r="D217" s="25" t="s">
        <v>682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1519.5</f>
        <v>1519.5</v>
      </c>
      <c r="L217" s="32" t="s">
        <v>904</v>
      </c>
      <c r="M217" s="31">
        <f>1549</f>
        <v>1549</v>
      </c>
      <c r="N217" s="32" t="s">
        <v>905</v>
      </c>
      <c r="O217" s="31">
        <f>1400</f>
        <v>1400</v>
      </c>
      <c r="P217" s="32" t="s">
        <v>820</v>
      </c>
      <c r="Q217" s="31">
        <f>1445.5</f>
        <v>1445.5</v>
      </c>
      <c r="R217" s="32" t="s">
        <v>94</v>
      </c>
      <c r="S217" s="33">
        <f>1492.41</f>
        <v>1492.41</v>
      </c>
      <c r="T217" s="30">
        <f>197280</f>
        <v>197280</v>
      </c>
      <c r="U217" s="30">
        <f>20</f>
        <v>20</v>
      </c>
      <c r="V217" s="30">
        <f>296482880</f>
        <v>296482880</v>
      </c>
      <c r="W217" s="30">
        <f>30320</f>
        <v>30320</v>
      </c>
      <c r="X217" s="34">
        <f>17</f>
        <v>17</v>
      </c>
    </row>
    <row r="218" spans="1:24" x14ac:dyDescent="0.15">
      <c r="A218" s="25" t="s">
        <v>903</v>
      </c>
      <c r="B218" s="25" t="s">
        <v>683</v>
      </c>
      <c r="C218" s="25" t="s">
        <v>684</v>
      </c>
      <c r="D218" s="25" t="s">
        <v>685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1253</f>
        <v>1253</v>
      </c>
      <c r="L218" s="32" t="s">
        <v>904</v>
      </c>
      <c r="M218" s="31">
        <f>1258.5</f>
        <v>1258.5</v>
      </c>
      <c r="N218" s="32" t="s">
        <v>905</v>
      </c>
      <c r="O218" s="31">
        <f>1172</f>
        <v>1172</v>
      </c>
      <c r="P218" s="32" t="s">
        <v>820</v>
      </c>
      <c r="Q218" s="31">
        <f>1212.5</f>
        <v>1212.5</v>
      </c>
      <c r="R218" s="32" t="s">
        <v>94</v>
      </c>
      <c r="S218" s="33">
        <f>1228.47</f>
        <v>1228.47</v>
      </c>
      <c r="T218" s="30">
        <f>700580</f>
        <v>700580</v>
      </c>
      <c r="U218" s="30">
        <f>230810</f>
        <v>230810</v>
      </c>
      <c r="V218" s="30">
        <f>846601320</f>
        <v>846601320</v>
      </c>
      <c r="W218" s="30">
        <f>278419130</f>
        <v>278419130</v>
      </c>
      <c r="X218" s="34">
        <f>18</f>
        <v>18</v>
      </c>
    </row>
    <row r="219" spans="1:24" x14ac:dyDescent="0.15">
      <c r="A219" s="25" t="s">
        <v>903</v>
      </c>
      <c r="B219" s="25" t="s">
        <v>686</v>
      </c>
      <c r="C219" s="25" t="s">
        <v>687</v>
      </c>
      <c r="D219" s="25" t="s">
        <v>688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607.6</f>
        <v>607.6</v>
      </c>
      <c r="L219" s="32" t="s">
        <v>904</v>
      </c>
      <c r="M219" s="31">
        <f>625</f>
        <v>625</v>
      </c>
      <c r="N219" s="32" t="s">
        <v>909</v>
      </c>
      <c r="O219" s="31">
        <f>500</f>
        <v>500</v>
      </c>
      <c r="P219" s="32" t="s">
        <v>820</v>
      </c>
      <c r="Q219" s="31">
        <f>560</f>
        <v>560</v>
      </c>
      <c r="R219" s="32" t="s">
        <v>94</v>
      </c>
      <c r="S219" s="33">
        <f>566.63</f>
        <v>566.63</v>
      </c>
      <c r="T219" s="30">
        <f>57880950</f>
        <v>57880950</v>
      </c>
      <c r="U219" s="30">
        <f>121870</f>
        <v>121870</v>
      </c>
      <c r="V219" s="30">
        <f>32721958771</f>
        <v>32721958771</v>
      </c>
      <c r="W219" s="30">
        <f>72910369</f>
        <v>72910369</v>
      </c>
      <c r="X219" s="34">
        <f>18</f>
        <v>18</v>
      </c>
    </row>
    <row r="220" spans="1:24" x14ac:dyDescent="0.15">
      <c r="A220" s="25" t="s">
        <v>903</v>
      </c>
      <c r="B220" s="25" t="s">
        <v>689</v>
      </c>
      <c r="C220" s="25" t="s">
        <v>690</v>
      </c>
      <c r="D220" s="25" t="s">
        <v>691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1153</f>
        <v>1153</v>
      </c>
      <c r="L220" s="32" t="s">
        <v>904</v>
      </c>
      <c r="M220" s="31">
        <f>1155</f>
        <v>1155</v>
      </c>
      <c r="N220" s="32" t="s">
        <v>904</v>
      </c>
      <c r="O220" s="31">
        <f>1079</f>
        <v>1079</v>
      </c>
      <c r="P220" s="32" t="s">
        <v>820</v>
      </c>
      <c r="Q220" s="31">
        <f>1102</f>
        <v>1102</v>
      </c>
      <c r="R220" s="32" t="s">
        <v>94</v>
      </c>
      <c r="S220" s="33">
        <f>1112.67</f>
        <v>1112.67</v>
      </c>
      <c r="T220" s="30">
        <f>147280</f>
        <v>147280</v>
      </c>
      <c r="U220" s="30" t="str">
        <f>"－"</f>
        <v>－</v>
      </c>
      <c r="V220" s="30">
        <f>164174630</f>
        <v>164174630</v>
      </c>
      <c r="W220" s="30" t="str">
        <f>"－"</f>
        <v>－</v>
      </c>
      <c r="X220" s="34">
        <f>18</f>
        <v>18</v>
      </c>
    </row>
    <row r="221" spans="1:24" x14ac:dyDescent="0.15">
      <c r="A221" s="25" t="s">
        <v>903</v>
      </c>
      <c r="B221" s="25" t="s">
        <v>692</v>
      </c>
      <c r="C221" s="25" t="s">
        <v>693</v>
      </c>
      <c r="D221" s="25" t="s">
        <v>694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</v>
      </c>
      <c r="K221" s="31">
        <f>1089</f>
        <v>1089</v>
      </c>
      <c r="L221" s="32" t="s">
        <v>904</v>
      </c>
      <c r="M221" s="31">
        <f>1121</f>
        <v>1121</v>
      </c>
      <c r="N221" s="32" t="s">
        <v>905</v>
      </c>
      <c r="O221" s="31">
        <f>1044</f>
        <v>1044</v>
      </c>
      <c r="P221" s="32" t="s">
        <v>820</v>
      </c>
      <c r="Q221" s="31">
        <f>1072</f>
        <v>1072</v>
      </c>
      <c r="R221" s="32" t="s">
        <v>94</v>
      </c>
      <c r="S221" s="33">
        <f>1086.44</f>
        <v>1086.44</v>
      </c>
      <c r="T221" s="30">
        <f>90087</f>
        <v>90087</v>
      </c>
      <c r="U221" s="30">
        <f>5</f>
        <v>5</v>
      </c>
      <c r="V221" s="30">
        <f>98592459</f>
        <v>98592459</v>
      </c>
      <c r="W221" s="30">
        <f>5310</f>
        <v>5310</v>
      </c>
      <c r="X221" s="34">
        <f>18</f>
        <v>18</v>
      </c>
    </row>
    <row r="222" spans="1:24" x14ac:dyDescent="0.15">
      <c r="A222" s="25" t="s">
        <v>903</v>
      </c>
      <c r="B222" s="25" t="s">
        <v>696</v>
      </c>
      <c r="C222" s="25" t="s">
        <v>697</v>
      </c>
      <c r="D222" s="25" t="s">
        <v>698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1022.5</f>
        <v>1022.5</v>
      </c>
      <c r="L222" s="32" t="s">
        <v>904</v>
      </c>
      <c r="M222" s="31">
        <f>1024.5</f>
        <v>1024.5</v>
      </c>
      <c r="N222" s="32" t="s">
        <v>811</v>
      </c>
      <c r="O222" s="31">
        <f>949</f>
        <v>949</v>
      </c>
      <c r="P222" s="32" t="s">
        <v>815</v>
      </c>
      <c r="Q222" s="31">
        <f>954</f>
        <v>954</v>
      </c>
      <c r="R222" s="32" t="s">
        <v>94</v>
      </c>
      <c r="S222" s="33">
        <f>1003.81</f>
        <v>1003.81</v>
      </c>
      <c r="T222" s="30">
        <f>312710</f>
        <v>312710</v>
      </c>
      <c r="U222" s="30">
        <f>134990</f>
        <v>134990</v>
      </c>
      <c r="V222" s="30">
        <f>306882754</f>
        <v>306882754</v>
      </c>
      <c r="W222" s="30">
        <f>133725243</f>
        <v>133725243</v>
      </c>
      <c r="X222" s="34">
        <f>18</f>
        <v>18</v>
      </c>
    </row>
    <row r="223" spans="1:24" x14ac:dyDescent="0.15">
      <c r="A223" s="25" t="s">
        <v>903</v>
      </c>
      <c r="B223" s="25" t="s">
        <v>699</v>
      </c>
      <c r="C223" s="25" t="s">
        <v>700</v>
      </c>
      <c r="D223" s="25" t="s">
        <v>701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1205</f>
        <v>1205</v>
      </c>
      <c r="L223" s="32" t="s">
        <v>904</v>
      </c>
      <c r="M223" s="31">
        <f>1253</f>
        <v>1253</v>
      </c>
      <c r="N223" s="32" t="s">
        <v>905</v>
      </c>
      <c r="O223" s="31">
        <f>1149.5</f>
        <v>1149.5</v>
      </c>
      <c r="P223" s="32" t="s">
        <v>94</v>
      </c>
      <c r="Q223" s="31">
        <f>1161</f>
        <v>1161</v>
      </c>
      <c r="R223" s="32" t="s">
        <v>94</v>
      </c>
      <c r="S223" s="33">
        <f>1214.58</f>
        <v>1214.58</v>
      </c>
      <c r="T223" s="30">
        <f>159170</f>
        <v>159170</v>
      </c>
      <c r="U223" s="30">
        <f>96900</f>
        <v>96900</v>
      </c>
      <c r="V223" s="30">
        <f>189898449</f>
        <v>189898449</v>
      </c>
      <c r="W223" s="30">
        <f>115641064</f>
        <v>115641064</v>
      </c>
      <c r="X223" s="34">
        <f>18</f>
        <v>18</v>
      </c>
    </row>
    <row r="224" spans="1:24" x14ac:dyDescent="0.15">
      <c r="A224" s="25" t="s">
        <v>903</v>
      </c>
      <c r="B224" s="25" t="s">
        <v>702</v>
      </c>
      <c r="C224" s="25" t="s">
        <v>703</v>
      </c>
      <c r="D224" s="25" t="s">
        <v>704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1566.5</f>
        <v>1566.5</v>
      </c>
      <c r="L224" s="32" t="s">
        <v>904</v>
      </c>
      <c r="M224" s="31">
        <f>1596</f>
        <v>1596</v>
      </c>
      <c r="N224" s="32" t="s">
        <v>905</v>
      </c>
      <c r="O224" s="31">
        <f>1435</f>
        <v>1435</v>
      </c>
      <c r="P224" s="32" t="s">
        <v>820</v>
      </c>
      <c r="Q224" s="31">
        <f>1493</f>
        <v>1493</v>
      </c>
      <c r="R224" s="32" t="s">
        <v>94</v>
      </c>
      <c r="S224" s="33">
        <f>1542.11</f>
        <v>1542.11</v>
      </c>
      <c r="T224" s="30">
        <f>12497190</f>
        <v>12497190</v>
      </c>
      <c r="U224" s="30">
        <f>9740470</f>
        <v>9740470</v>
      </c>
      <c r="V224" s="30">
        <f>19103928219</f>
        <v>19103928219</v>
      </c>
      <c r="W224" s="30">
        <f>14876510334</f>
        <v>14876510334</v>
      </c>
      <c r="X224" s="34">
        <f>18</f>
        <v>18</v>
      </c>
    </row>
    <row r="225" spans="1:24" x14ac:dyDescent="0.15">
      <c r="A225" s="25" t="s">
        <v>903</v>
      </c>
      <c r="B225" s="25" t="s">
        <v>705</v>
      </c>
      <c r="C225" s="25" t="s">
        <v>706</v>
      </c>
      <c r="D225" s="25" t="s">
        <v>707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3805</f>
        <v>3805</v>
      </c>
      <c r="L225" s="32" t="s">
        <v>904</v>
      </c>
      <c r="M225" s="31">
        <f>3925</f>
        <v>3925</v>
      </c>
      <c r="N225" s="32" t="s">
        <v>905</v>
      </c>
      <c r="O225" s="31">
        <f>3395</f>
        <v>3395</v>
      </c>
      <c r="P225" s="32" t="s">
        <v>820</v>
      </c>
      <c r="Q225" s="31">
        <f>3580</f>
        <v>3580</v>
      </c>
      <c r="R225" s="32" t="s">
        <v>94</v>
      </c>
      <c r="S225" s="33">
        <f>3719.72</f>
        <v>3719.72</v>
      </c>
      <c r="T225" s="30">
        <f>345652</f>
        <v>345652</v>
      </c>
      <c r="U225" s="30">
        <f>168046</f>
        <v>168046</v>
      </c>
      <c r="V225" s="30">
        <f>1271572965</f>
        <v>1271572965</v>
      </c>
      <c r="W225" s="30">
        <f>607332040</f>
        <v>607332040</v>
      </c>
      <c r="X225" s="34">
        <f>18</f>
        <v>18</v>
      </c>
    </row>
    <row r="226" spans="1:24" x14ac:dyDescent="0.15">
      <c r="A226" s="25" t="s">
        <v>903</v>
      </c>
      <c r="B226" s="25" t="s">
        <v>708</v>
      </c>
      <c r="C226" s="25" t="s">
        <v>709</v>
      </c>
      <c r="D226" s="25" t="s">
        <v>710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1579.5</f>
        <v>1579.5</v>
      </c>
      <c r="L226" s="32" t="s">
        <v>904</v>
      </c>
      <c r="M226" s="31">
        <f>1648</f>
        <v>1648</v>
      </c>
      <c r="N226" s="32" t="s">
        <v>814</v>
      </c>
      <c r="O226" s="31">
        <f>1570</f>
        <v>1570</v>
      </c>
      <c r="P226" s="32" t="s">
        <v>820</v>
      </c>
      <c r="Q226" s="31">
        <f>1600</f>
        <v>1600</v>
      </c>
      <c r="R226" s="32" t="s">
        <v>94</v>
      </c>
      <c r="S226" s="33">
        <f>1623.31</f>
        <v>1623.31</v>
      </c>
      <c r="T226" s="30">
        <f>3130</f>
        <v>3130</v>
      </c>
      <c r="U226" s="30" t="str">
        <f>"－"</f>
        <v>－</v>
      </c>
      <c r="V226" s="30">
        <f>5078865</f>
        <v>5078865</v>
      </c>
      <c r="W226" s="30" t="str">
        <f>"－"</f>
        <v>－</v>
      </c>
      <c r="X226" s="34">
        <f>16</f>
        <v>16</v>
      </c>
    </row>
    <row r="227" spans="1:24" x14ac:dyDescent="0.15">
      <c r="A227" s="25" t="s">
        <v>903</v>
      </c>
      <c r="B227" s="25" t="s">
        <v>711</v>
      </c>
      <c r="C227" s="25" t="s">
        <v>712</v>
      </c>
      <c r="D227" s="25" t="s">
        <v>713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1954</f>
        <v>1954</v>
      </c>
      <c r="L227" s="32" t="s">
        <v>904</v>
      </c>
      <c r="M227" s="31">
        <f>2009</f>
        <v>2009</v>
      </c>
      <c r="N227" s="32" t="s">
        <v>905</v>
      </c>
      <c r="O227" s="31">
        <f>1871.5</f>
        <v>1871.5</v>
      </c>
      <c r="P227" s="32" t="s">
        <v>820</v>
      </c>
      <c r="Q227" s="31">
        <f>1902.5</f>
        <v>1902.5</v>
      </c>
      <c r="R227" s="32" t="s">
        <v>94</v>
      </c>
      <c r="S227" s="33">
        <f>1948.25</f>
        <v>1948.25</v>
      </c>
      <c r="T227" s="30">
        <f>1485040</f>
        <v>1485040</v>
      </c>
      <c r="U227" s="30">
        <f>300000</f>
        <v>300000</v>
      </c>
      <c r="V227" s="30">
        <f>2862639975</f>
        <v>2862639975</v>
      </c>
      <c r="W227" s="30">
        <f>583200000</f>
        <v>583200000</v>
      </c>
      <c r="X227" s="34">
        <f>18</f>
        <v>18</v>
      </c>
    </row>
    <row r="228" spans="1:24" x14ac:dyDescent="0.15">
      <c r="A228" s="25" t="s">
        <v>903</v>
      </c>
      <c r="B228" s="25" t="s">
        <v>714</v>
      </c>
      <c r="C228" s="25" t="s">
        <v>715</v>
      </c>
      <c r="D228" s="25" t="s">
        <v>716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</v>
      </c>
      <c r="K228" s="31">
        <f>27685</f>
        <v>27685</v>
      </c>
      <c r="L228" s="32" t="s">
        <v>904</v>
      </c>
      <c r="M228" s="31">
        <f>28280</f>
        <v>28280</v>
      </c>
      <c r="N228" s="32" t="s">
        <v>905</v>
      </c>
      <c r="O228" s="31">
        <f>25955</f>
        <v>25955</v>
      </c>
      <c r="P228" s="32" t="s">
        <v>820</v>
      </c>
      <c r="Q228" s="31">
        <f>26735</f>
        <v>26735</v>
      </c>
      <c r="R228" s="32" t="s">
        <v>94</v>
      </c>
      <c r="S228" s="33">
        <f>27338.13</f>
        <v>27338.13</v>
      </c>
      <c r="T228" s="30">
        <f>19609</f>
        <v>19609</v>
      </c>
      <c r="U228" s="30" t="str">
        <f>"－"</f>
        <v>－</v>
      </c>
      <c r="V228" s="30">
        <f>534099790</f>
        <v>534099790</v>
      </c>
      <c r="W228" s="30" t="str">
        <f>"－"</f>
        <v>－</v>
      </c>
      <c r="X228" s="34">
        <f>16</f>
        <v>16</v>
      </c>
    </row>
    <row r="229" spans="1:24" x14ac:dyDescent="0.15">
      <c r="A229" s="25" t="s">
        <v>903</v>
      </c>
      <c r="B229" s="25" t="s">
        <v>717</v>
      </c>
      <c r="C229" s="25" t="s">
        <v>718</v>
      </c>
      <c r="D229" s="25" t="s">
        <v>719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17560</f>
        <v>17560</v>
      </c>
      <c r="L229" s="32" t="s">
        <v>904</v>
      </c>
      <c r="M229" s="31">
        <f>17980</f>
        <v>17980</v>
      </c>
      <c r="N229" s="32" t="s">
        <v>905</v>
      </c>
      <c r="O229" s="31">
        <f>16780</f>
        <v>16780</v>
      </c>
      <c r="P229" s="32" t="s">
        <v>820</v>
      </c>
      <c r="Q229" s="31">
        <f>16980</f>
        <v>16980</v>
      </c>
      <c r="R229" s="32" t="s">
        <v>815</v>
      </c>
      <c r="S229" s="33">
        <f>17543</f>
        <v>17543</v>
      </c>
      <c r="T229" s="30">
        <f>24431</f>
        <v>24431</v>
      </c>
      <c r="U229" s="30" t="str">
        <f>"－"</f>
        <v>－</v>
      </c>
      <c r="V229" s="30">
        <f>432187440</f>
        <v>432187440</v>
      </c>
      <c r="W229" s="30" t="str">
        <f>"－"</f>
        <v>－</v>
      </c>
      <c r="X229" s="34">
        <f>15</f>
        <v>15</v>
      </c>
    </row>
    <row r="230" spans="1:24" x14ac:dyDescent="0.15">
      <c r="A230" s="25" t="s">
        <v>903</v>
      </c>
      <c r="B230" s="25" t="s">
        <v>720</v>
      </c>
      <c r="C230" s="25" t="s">
        <v>721</v>
      </c>
      <c r="D230" s="25" t="s">
        <v>722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1130.5</f>
        <v>1130.5</v>
      </c>
      <c r="L230" s="32" t="s">
        <v>909</v>
      </c>
      <c r="M230" s="31">
        <f>1148</f>
        <v>1148</v>
      </c>
      <c r="N230" s="32" t="s">
        <v>820</v>
      </c>
      <c r="O230" s="31">
        <f>1093</f>
        <v>1093</v>
      </c>
      <c r="P230" s="32" t="s">
        <v>911</v>
      </c>
      <c r="Q230" s="31">
        <f>1111</f>
        <v>1111</v>
      </c>
      <c r="R230" s="32" t="s">
        <v>94</v>
      </c>
      <c r="S230" s="33">
        <f>1113.67</f>
        <v>1113.67</v>
      </c>
      <c r="T230" s="30">
        <f>117780</f>
        <v>117780</v>
      </c>
      <c r="U230" s="30" t="str">
        <f>"－"</f>
        <v>－</v>
      </c>
      <c r="V230" s="30">
        <f>130555280</f>
        <v>130555280</v>
      </c>
      <c r="W230" s="30" t="str">
        <f>"－"</f>
        <v>－</v>
      </c>
      <c r="X230" s="34">
        <f>12</f>
        <v>12</v>
      </c>
    </row>
    <row r="231" spans="1:24" x14ac:dyDescent="0.15">
      <c r="A231" s="25" t="s">
        <v>903</v>
      </c>
      <c r="B231" s="25" t="s">
        <v>723</v>
      </c>
      <c r="C231" s="25" t="s">
        <v>724</v>
      </c>
      <c r="D231" s="25" t="s">
        <v>725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1146</f>
        <v>1146</v>
      </c>
      <c r="L231" s="32" t="s">
        <v>904</v>
      </c>
      <c r="M231" s="31">
        <f>1152.5</f>
        <v>1152.5</v>
      </c>
      <c r="N231" s="32" t="s">
        <v>904</v>
      </c>
      <c r="O231" s="31">
        <f>1088</f>
        <v>1088</v>
      </c>
      <c r="P231" s="32" t="s">
        <v>908</v>
      </c>
      <c r="Q231" s="31">
        <f>1101.5</f>
        <v>1101.5</v>
      </c>
      <c r="R231" s="32" t="s">
        <v>94</v>
      </c>
      <c r="S231" s="33">
        <f>1113.69</f>
        <v>1113.69</v>
      </c>
      <c r="T231" s="30">
        <f>50940</f>
        <v>50940</v>
      </c>
      <c r="U231" s="30" t="str">
        <f>"－"</f>
        <v>－</v>
      </c>
      <c r="V231" s="30">
        <f>56443495</f>
        <v>56443495</v>
      </c>
      <c r="W231" s="30" t="str">
        <f>"－"</f>
        <v>－</v>
      </c>
      <c r="X231" s="34">
        <f>18</f>
        <v>18</v>
      </c>
    </row>
    <row r="232" spans="1:24" x14ac:dyDescent="0.15">
      <c r="A232" s="25" t="s">
        <v>903</v>
      </c>
      <c r="B232" s="25" t="s">
        <v>726</v>
      </c>
      <c r="C232" s="25" t="s">
        <v>727</v>
      </c>
      <c r="D232" s="25" t="s">
        <v>728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1130</f>
        <v>1130</v>
      </c>
      <c r="L232" s="32" t="s">
        <v>904</v>
      </c>
      <c r="M232" s="31">
        <f>1166</f>
        <v>1166</v>
      </c>
      <c r="N232" s="32" t="s">
        <v>819</v>
      </c>
      <c r="O232" s="31">
        <f>1108</f>
        <v>1108</v>
      </c>
      <c r="P232" s="32" t="s">
        <v>820</v>
      </c>
      <c r="Q232" s="31">
        <f>1130</f>
        <v>1130</v>
      </c>
      <c r="R232" s="32" t="s">
        <v>94</v>
      </c>
      <c r="S232" s="33">
        <f>1139.67</f>
        <v>1139.67</v>
      </c>
      <c r="T232" s="30">
        <f>37497</f>
        <v>37497</v>
      </c>
      <c r="U232" s="30">
        <f>9</f>
        <v>9</v>
      </c>
      <c r="V232" s="30">
        <f>42646973</f>
        <v>42646973</v>
      </c>
      <c r="W232" s="30">
        <f>10164</f>
        <v>10164</v>
      </c>
      <c r="X232" s="34">
        <f>18</f>
        <v>18</v>
      </c>
    </row>
    <row r="233" spans="1:24" x14ac:dyDescent="0.15">
      <c r="A233" s="25" t="s">
        <v>903</v>
      </c>
      <c r="B233" s="25" t="s">
        <v>729</v>
      </c>
      <c r="C233" s="25" t="s">
        <v>730</v>
      </c>
      <c r="D233" s="25" t="s">
        <v>731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13370</f>
        <v>13370</v>
      </c>
      <c r="L233" s="32" t="s">
        <v>904</v>
      </c>
      <c r="M233" s="31">
        <f>14000</f>
        <v>14000</v>
      </c>
      <c r="N233" s="32" t="s">
        <v>94</v>
      </c>
      <c r="O233" s="31">
        <f>13280</f>
        <v>13280</v>
      </c>
      <c r="P233" s="32" t="s">
        <v>904</v>
      </c>
      <c r="Q233" s="31">
        <f>13600</f>
        <v>13600</v>
      </c>
      <c r="R233" s="32" t="s">
        <v>94</v>
      </c>
      <c r="S233" s="33">
        <f>13585.83</f>
        <v>13585.83</v>
      </c>
      <c r="T233" s="30">
        <f>595</f>
        <v>595</v>
      </c>
      <c r="U233" s="30">
        <f>1</f>
        <v>1</v>
      </c>
      <c r="V233" s="30">
        <f>8036225</f>
        <v>8036225</v>
      </c>
      <c r="W233" s="30">
        <f>13790</f>
        <v>13790</v>
      </c>
      <c r="X233" s="34">
        <f>18</f>
        <v>18</v>
      </c>
    </row>
    <row r="234" spans="1:24" x14ac:dyDescent="0.15">
      <c r="A234" s="25" t="s">
        <v>903</v>
      </c>
      <c r="B234" s="25" t="s">
        <v>732</v>
      </c>
      <c r="C234" s="25" t="s">
        <v>733</v>
      </c>
      <c r="D234" s="25" t="s">
        <v>734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2130</f>
        <v>2130</v>
      </c>
      <c r="L234" s="32" t="s">
        <v>904</v>
      </c>
      <c r="M234" s="31">
        <f>2134</f>
        <v>2134</v>
      </c>
      <c r="N234" s="32" t="s">
        <v>904</v>
      </c>
      <c r="O234" s="31">
        <f>1993</f>
        <v>1993</v>
      </c>
      <c r="P234" s="32" t="s">
        <v>915</v>
      </c>
      <c r="Q234" s="31">
        <f>2038</f>
        <v>2038</v>
      </c>
      <c r="R234" s="32" t="s">
        <v>94</v>
      </c>
      <c r="S234" s="33">
        <f>2049.5</f>
        <v>2049.5</v>
      </c>
      <c r="T234" s="30">
        <f>9645</f>
        <v>9645</v>
      </c>
      <c r="U234" s="30" t="str">
        <f>"－"</f>
        <v>－</v>
      </c>
      <c r="V234" s="30">
        <f>19713504</f>
        <v>19713504</v>
      </c>
      <c r="W234" s="30" t="str">
        <f>"－"</f>
        <v>－</v>
      </c>
      <c r="X234" s="34">
        <f>18</f>
        <v>18</v>
      </c>
    </row>
    <row r="235" spans="1:24" x14ac:dyDescent="0.15">
      <c r="A235" s="25" t="s">
        <v>903</v>
      </c>
      <c r="B235" s="25" t="s">
        <v>735</v>
      </c>
      <c r="C235" s="25" t="s">
        <v>736</v>
      </c>
      <c r="D235" s="25" t="s">
        <v>737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1837</f>
        <v>1837</v>
      </c>
      <c r="L235" s="32" t="s">
        <v>904</v>
      </c>
      <c r="M235" s="31">
        <f>1903</f>
        <v>1903</v>
      </c>
      <c r="N235" s="32" t="s">
        <v>94</v>
      </c>
      <c r="O235" s="31">
        <f>1572.5</f>
        <v>1572.5</v>
      </c>
      <c r="P235" s="32" t="s">
        <v>820</v>
      </c>
      <c r="Q235" s="31">
        <f>1712</f>
        <v>1712</v>
      </c>
      <c r="R235" s="32" t="s">
        <v>94</v>
      </c>
      <c r="S235" s="33">
        <f>1729.53</f>
        <v>1729.53</v>
      </c>
      <c r="T235" s="30">
        <f>6400</f>
        <v>6400</v>
      </c>
      <c r="U235" s="30" t="str">
        <f>"－"</f>
        <v>－</v>
      </c>
      <c r="V235" s="30">
        <f>10796060</f>
        <v>10796060</v>
      </c>
      <c r="W235" s="30" t="str">
        <f>"－"</f>
        <v>－</v>
      </c>
      <c r="X235" s="34">
        <f>15</f>
        <v>15</v>
      </c>
    </row>
    <row r="236" spans="1:24" x14ac:dyDescent="0.15">
      <c r="A236" s="25" t="s">
        <v>903</v>
      </c>
      <c r="B236" s="25" t="s">
        <v>738</v>
      </c>
      <c r="C236" s="25" t="s">
        <v>822</v>
      </c>
      <c r="D236" s="25" t="s">
        <v>823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972</f>
        <v>972</v>
      </c>
      <c r="L236" s="32" t="s">
        <v>904</v>
      </c>
      <c r="M236" s="31">
        <f>974.2</f>
        <v>974.2</v>
      </c>
      <c r="N236" s="32" t="s">
        <v>907</v>
      </c>
      <c r="O236" s="31">
        <f>954</f>
        <v>954</v>
      </c>
      <c r="P236" s="32" t="s">
        <v>815</v>
      </c>
      <c r="Q236" s="31">
        <f>958.1</f>
        <v>958.1</v>
      </c>
      <c r="R236" s="32" t="s">
        <v>94</v>
      </c>
      <c r="S236" s="33">
        <f>963.07</f>
        <v>963.07</v>
      </c>
      <c r="T236" s="30">
        <f>816840</f>
        <v>816840</v>
      </c>
      <c r="U236" s="30">
        <f>510710</f>
        <v>510710</v>
      </c>
      <c r="V236" s="30">
        <f>785085025</f>
        <v>785085025</v>
      </c>
      <c r="W236" s="30">
        <f>491009800</f>
        <v>491009800</v>
      </c>
      <c r="X236" s="34">
        <f>18</f>
        <v>18</v>
      </c>
    </row>
    <row r="237" spans="1:24" x14ac:dyDescent="0.15">
      <c r="A237" s="25" t="s">
        <v>903</v>
      </c>
      <c r="B237" s="25" t="s">
        <v>739</v>
      </c>
      <c r="C237" s="25" t="s">
        <v>740</v>
      </c>
      <c r="D237" s="25" t="s">
        <v>741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2007</f>
        <v>2007</v>
      </c>
      <c r="L237" s="32" t="s">
        <v>904</v>
      </c>
      <c r="M237" s="31">
        <f>2009</f>
        <v>2009</v>
      </c>
      <c r="N237" s="32" t="s">
        <v>904</v>
      </c>
      <c r="O237" s="31">
        <f>1889.5</f>
        <v>1889.5</v>
      </c>
      <c r="P237" s="32" t="s">
        <v>820</v>
      </c>
      <c r="Q237" s="31">
        <f>1928.5</f>
        <v>1928.5</v>
      </c>
      <c r="R237" s="32" t="s">
        <v>94</v>
      </c>
      <c r="S237" s="33">
        <f>1938.36</f>
        <v>1938.36</v>
      </c>
      <c r="T237" s="30">
        <f>14140</f>
        <v>14140</v>
      </c>
      <c r="U237" s="30" t="str">
        <f>"－"</f>
        <v>－</v>
      </c>
      <c r="V237" s="30">
        <f>27387175</f>
        <v>27387175</v>
      </c>
      <c r="W237" s="30" t="str">
        <f>"－"</f>
        <v>－</v>
      </c>
      <c r="X237" s="34">
        <f>18</f>
        <v>18</v>
      </c>
    </row>
    <row r="238" spans="1:24" x14ac:dyDescent="0.15">
      <c r="A238" s="25" t="s">
        <v>903</v>
      </c>
      <c r="B238" s="25" t="s">
        <v>742</v>
      </c>
      <c r="C238" s="25" t="s">
        <v>743</v>
      </c>
      <c r="D238" s="25" t="s">
        <v>744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2003.5</f>
        <v>2003.5</v>
      </c>
      <c r="L238" s="32" t="s">
        <v>904</v>
      </c>
      <c r="M238" s="31">
        <f>2009</f>
        <v>2009</v>
      </c>
      <c r="N238" s="32" t="s">
        <v>904</v>
      </c>
      <c r="O238" s="31">
        <f>1882</f>
        <v>1882</v>
      </c>
      <c r="P238" s="32" t="s">
        <v>820</v>
      </c>
      <c r="Q238" s="31">
        <f>1922.5</f>
        <v>1922.5</v>
      </c>
      <c r="R238" s="32" t="s">
        <v>94</v>
      </c>
      <c r="S238" s="33">
        <f>1938.25</f>
        <v>1938.25</v>
      </c>
      <c r="T238" s="30">
        <f>442970</f>
        <v>442970</v>
      </c>
      <c r="U238" s="30">
        <f>100170</f>
        <v>100170</v>
      </c>
      <c r="V238" s="30">
        <f>856203155</f>
        <v>856203155</v>
      </c>
      <c r="W238" s="30">
        <f>197468920</f>
        <v>197468920</v>
      </c>
      <c r="X238" s="34">
        <f>18</f>
        <v>18</v>
      </c>
    </row>
    <row r="239" spans="1:24" x14ac:dyDescent="0.15">
      <c r="A239" s="25" t="s">
        <v>903</v>
      </c>
      <c r="B239" s="25" t="s">
        <v>745</v>
      </c>
      <c r="C239" s="25" t="s">
        <v>746</v>
      </c>
      <c r="D239" s="25" t="s">
        <v>747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1923.5</f>
        <v>1923.5</v>
      </c>
      <c r="L239" s="32" t="s">
        <v>909</v>
      </c>
      <c r="M239" s="31">
        <f>1971.5</f>
        <v>1971.5</v>
      </c>
      <c r="N239" s="32" t="s">
        <v>905</v>
      </c>
      <c r="O239" s="31">
        <f>1858</f>
        <v>1858</v>
      </c>
      <c r="P239" s="32" t="s">
        <v>820</v>
      </c>
      <c r="Q239" s="31">
        <f>1865.5</f>
        <v>1865.5</v>
      </c>
      <c r="R239" s="32" t="s">
        <v>820</v>
      </c>
      <c r="S239" s="33">
        <f>1925.59</f>
        <v>1925.59</v>
      </c>
      <c r="T239" s="30">
        <f>680</f>
        <v>680</v>
      </c>
      <c r="U239" s="30" t="str">
        <f>"－"</f>
        <v>－</v>
      </c>
      <c r="V239" s="30">
        <f>1308830</f>
        <v>1308830</v>
      </c>
      <c r="W239" s="30" t="str">
        <f>"－"</f>
        <v>－</v>
      </c>
      <c r="X239" s="34">
        <f>11</f>
        <v>11</v>
      </c>
    </row>
    <row r="240" spans="1:24" x14ac:dyDescent="0.15">
      <c r="A240" s="25" t="s">
        <v>903</v>
      </c>
      <c r="B240" s="25" t="s">
        <v>748</v>
      </c>
      <c r="C240" s="25" t="s">
        <v>749</v>
      </c>
      <c r="D240" s="25" t="s">
        <v>750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14870</f>
        <v>14870</v>
      </c>
      <c r="L240" s="32" t="s">
        <v>904</v>
      </c>
      <c r="M240" s="31">
        <f>15215</f>
        <v>15215</v>
      </c>
      <c r="N240" s="32" t="s">
        <v>905</v>
      </c>
      <c r="O240" s="31">
        <f>13560</f>
        <v>13560</v>
      </c>
      <c r="P240" s="32" t="s">
        <v>820</v>
      </c>
      <c r="Q240" s="31">
        <f>14240</f>
        <v>14240</v>
      </c>
      <c r="R240" s="32" t="s">
        <v>94</v>
      </c>
      <c r="S240" s="33">
        <f>14646.39</f>
        <v>14646.39</v>
      </c>
      <c r="T240" s="30">
        <f>679150</f>
        <v>679150</v>
      </c>
      <c r="U240" s="30" t="str">
        <f>"－"</f>
        <v>－</v>
      </c>
      <c r="V240" s="30">
        <f>9811056180</f>
        <v>9811056180</v>
      </c>
      <c r="W240" s="30" t="str">
        <f>"－"</f>
        <v>－</v>
      </c>
      <c r="X240" s="34">
        <f>18</f>
        <v>18</v>
      </c>
    </row>
    <row r="241" spans="1:24" x14ac:dyDescent="0.15">
      <c r="A241" s="25" t="s">
        <v>903</v>
      </c>
      <c r="B241" s="25" t="s">
        <v>751</v>
      </c>
      <c r="C241" s="25" t="s">
        <v>752</v>
      </c>
      <c r="D241" s="25" t="s">
        <v>753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13645</f>
        <v>13645</v>
      </c>
      <c r="L241" s="32" t="s">
        <v>904</v>
      </c>
      <c r="M241" s="31">
        <f>14020</f>
        <v>14020</v>
      </c>
      <c r="N241" s="32" t="s">
        <v>905</v>
      </c>
      <c r="O241" s="31">
        <f>12700</f>
        <v>12700</v>
      </c>
      <c r="P241" s="32" t="s">
        <v>820</v>
      </c>
      <c r="Q241" s="31">
        <f>13270</f>
        <v>13270</v>
      </c>
      <c r="R241" s="32" t="s">
        <v>94</v>
      </c>
      <c r="S241" s="33">
        <f>13556.67</f>
        <v>13556.67</v>
      </c>
      <c r="T241" s="30">
        <f>159900</f>
        <v>159900</v>
      </c>
      <c r="U241" s="30">
        <f>5</f>
        <v>5</v>
      </c>
      <c r="V241" s="30">
        <f>2137217760</f>
        <v>2137217760</v>
      </c>
      <c r="W241" s="30">
        <f>65500</f>
        <v>65500</v>
      </c>
      <c r="X241" s="34">
        <f>18</f>
        <v>18</v>
      </c>
    </row>
    <row r="242" spans="1:24" x14ac:dyDescent="0.15">
      <c r="A242" s="25" t="s">
        <v>903</v>
      </c>
      <c r="B242" s="25" t="s">
        <v>754</v>
      </c>
      <c r="C242" s="25" t="s">
        <v>755</v>
      </c>
      <c r="D242" s="25" t="s">
        <v>756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25715</f>
        <v>25715</v>
      </c>
      <c r="L242" s="32" t="s">
        <v>70</v>
      </c>
      <c r="M242" s="31">
        <f>26300</f>
        <v>26300</v>
      </c>
      <c r="N242" s="32" t="s">
        <v>695</v>
      </c>
      <c r="O242" s="31">
        <f>24905</f>
        <v>24905</v>
      </c>
      <c r="P242" s="32" t="s">
        <v>908</v>
      </c>
      <c r="Q242" s="31">
        <f>24915</f>
        <v>24915</v>
      </c>
      <c r="R242" s="32" t="s">
        <v>820</v>
      </c>
      <c r="S242" s="33">
        <f>25597.5</f>
        <v>25597.5</v>
      </c>
      <c r="T242" s="30">
        <f>18</f>
        <v>18</v>
      </c>
      <c r="U242" s="30" t="str">
        <f>"－"</f>
        <v>－</v>
      </c>
      <c r="V242" s="30">
        <f>463480</f>
        <v>463480</v>
      </c>
      <c r="W242" s="30" t="str">
        <f>"－"</f>
        <v>－</v>
      </c>
      <c r="X242" s="34">
        <f>6</f>
        <v>6</v>
      </c>
    </row>
    <row r="243" spans="1:24" x14ac:dyDescent="0.15">
      <c r="A243" s="25" t="s">
        <v>903</v>
      </c>
      <c r="B243" s="25" t="s">
        <v>757</v>
      </c>
      <c r="C243" s="25" t="s">
        <v>758</v>
      </c>
      <c r="D243" s="25" t="s">
        <v>759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2675</f>
        <v>2675</v>
      </c>
      <c r="L243" s="32" t="s">
        <v>904</v>
      </c>
      <c r="M243" s="31">
        <f>2700</f>
        <v>2700</v>
      </c>
      <c r="N243" s="32" t="s">
        <v>695</v>
      </c>
      <c r="O243" s="31">
        <f>2624</f>
        <v>2624</v>
      </c>
      <c r="P243" s="32" t="s">
        <v>814</v>
      </c>
      <c r="Q243" s="31">
        <f>2651</f>
        <v>2651</v>
      </c>
      <c r="R243" s="32" t="s">
        <v>94</v>
      </c>
      <c r="S243" s="33">
        <f>2651.89</f>
        <v>2651.89</v>
      </c>
      <c r="T243" s="30">
        <f>1061296</f>
        <v>1061296</v>
      </c>
      <c r="U243" s="30">
        <f>412768</f>
        <v>412768</v>
      </c>
      <c r="V243" s="30">
        <f>2815590462</f>
        <v>2815590462</v>
      </c>
      <c r="W243" s="30">
        <f>1093974700</f>
        <v>1093974700</v>
      </c>
      <c r="X243" s="34">
        <f>18</f>
        <v>18</v>
      </c>
    </row>
    <row r="244" spans="1:24" x14ac:dyDescent="0.15">
      <c r="A244" s="25" t="s">
        <v>903</v>
      </c>
      <c r="B244" s="25" t="s">
        <v>760</v>
      </c>
      <c r="C244" s="25" t="s">
        <v>761</v>
      </c>
      <c r="D244" s="25" t="s">
        <v>762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3029</f>
        <v>3029</v>
      </c>
      <c r="L244" s="32" t="s">
        <v>904</v>
      </c>
      <c r="M244" s="31">
        <f>3094</f>
        <v>3094</v>
      </c>
      <c r="N244" s="32" t="s">
        <v>905</v>
      </c>
      <c r="O244" s="31">
        <f>2794.5</f>
        <v>2794.5</v>
      </c>
      <c r="P244" s="32" t="s">
        <v>820</v>
      </c>
      <c r="Q244" s="31">
        <f>2899</f>
        <v>2899</v>
      </c>
      <c r="R244" s="32" t="s">
        <v>94</v>
      </c>
      <c r="S244" s="33">
        <f>2990.64</f>
        <v>2990.64</v>
      </c>
      <c r="T244" s="30">
        <f>2793980</f>
        <v>2793980</v>
      </c>
      <c r="U244" s="30">
        <f>1470590</f>
        <v>1470590</v>
      </c>
      <c r="V244" s="30">
        <f>8116427650</f>
        <v>8116427650</v>
      </c>
      <c r="W244" s="30">
        <f>4279709925</f>
        <v>4279709925</v>
      </c>
      <c r="X244" s="34">
        <f>18</f>
        <v>18</v>
      </c>
    </row>
    <row r="245" spans="1:24" x14ac:dyDescent="0.15">
      <c r="A245" s="25" t="s">
        <v>903</v>
      </c>
      <c r="B245" s="25" t="s">
        <v>763</v>
      </c>
      <c r="C245" s="25" t="s">
        <v>764</v>
      </c>
      <c r="D245" s="25" t="s">
        <v>765</v>
      </c>
      <c r="E245" s="26" t="s">
        <v>913</v>
      </c>
      <c r="F245" s="27" t="s">
        <v>914</v>
      </c>
      <c r="G245" s="28" t="s">
        <v>45</v>
      </c>
      <c r="H245" s="29"/>
      <c r="I245" s="29" t="s">
        <v>46</v>
      </c>
      <c r="J245" s="30">
        <v>10</v>
      </c>
      <c r="K245" s="31">
        <f>2934</f>
        <v>2934</v>
      </c>
      <c r="L245" s="32" t="s">
        <v>904</v>
      </c>
      <c r="M245" s="31">
        <f>2984</f>
        <v>2984</v>
      </c>
      <c r="N245" s="32" t="s">
        <v>909</v>
      </c>
      <c r="O245" s="31">
        <f>2926</f>
        <v>2926</v>
      </c>
      <c r="P245" s="32" t="s">
        <v>70</v>
      </c>
      <c r="Q245" s="31">
        <f>2938</f>
        <v>2938</v>
      </c>
      <c r="R245" s="32" t="s">
        <v>70</v>
      </c>
      <c r="S245" s="33">
        <f>2955.4</f>
        <v>2955.4</v>
      </c>
      <c r="T245" s="30">
        <f>814060</f>
        <v>814060</v>
      </c>
      <c r="U245" s="30">
        <f>44001</f>
        <v>44001</v>
      </c>
      <c r="V245" s="30">
        <f>2413067548</f>
        <v>2413067548</v>
      </c>
      <c r="W245" s="30">
        <f>129091307</f>
        <v>129091307</v>
      </c>
      <c r="X245" s="34">
        <f>5</f>
        <v>5</v>
      </c>
    </row>
    <row r="246" spans="1:24" x14ac:dyDescent="0.15">
      <c r="A246" s="25" t="s">
        <v>903</v>
      </c>
      <c r="B246" s="25" t="s">
        <v>763</v>
      </c>
      <c r="C246" s="25" t="s">
        <v>764</v>
      </c>
      <c r="D246" s="25" t="s">
        <v>765</v>
      </c>
      <c r="E246" s="26" t="s">
        <v>913</v>
      </c>
      <c r="F246" s="27" t="s">
        <v>914</v>
      </c>
      <c r="G246" s="28" t="s">
        <v>45</v>
      </c>
      <c r="H246" s="29"/>
      <c r="I246" s="29" t="s">
        <v>46</v>
      </c>
      <c r="J246" s="30">
        <v>10</v>
      </c>
      <c r="K246" s="31">
        <f>292.2</f>
        <v>292.2</v>
      </c>
      <c r="L246" s="32" t="s">
        <v>912</v>
      </c>
      <c r="M246" s="31">
        <f>297.8</f>
        <v>297.8</v>
      </c>
      <c r="N246" s="32" t="s">
        <v>905</v>
      </c>
      <c r="O246" s="31">
        <f>267.9</f>
        <v>267.89999999999998</v>
      </c>
      <c r="P246" s="32" t="s">
        <v>820</v>
      </c>
      <c r="Q246" s="31">
        <f>278.7</f>
        <v>278.7</v>
      </c>
      <c r="R246" s="32" t="s">
        <v>94</v>
      </c>
      <c r="S246" s="33">
        <f>285.24</f>
        <v>285.24</v>
      </c>
      <c r="T246" s="30">
        <f>15010700</f>
        <v>15010700</v>
      </c>
      <c r="U246" s="30">
        <f>1350010</f>
        <v>1350010</v>
      </c>
      <c r="V246" s="30">
        <f>4259498408</f>
        <v>4259498408</v>
      </c>
      <c r="W246" s="30">
        <f>388285737</f>
        <v>388285737</v>
      </c>
      <c r="X246" s="34">
        <f>13</f>
        <v>13</v>
      </c>
    </row>
    <row r="247" spans="1:24" x14ac:dyDescent="0.15">
      <c r="A247" s="25" t="s">
        <v>903</v>
      </c>
      <c r="B247" s="25" t="s">
        <v>766</v>
      </c>
      <c r="C247" s="25" t="s">
        <v>767</v>
      </c>
      <c r="D247" s="25" t="s">
        <v>768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1912</f>
        <v>1912</v>
      </c>
      <c r="L247" s="32" t="s">
        <v>904</v>
      </c>
      <c r="M247" s="31">
        <f>2052</f>
        <v>2052</v>
      </c>
      <c r="N247" s="32" t="s">
        <v>908</v>
      </c>
      <c r="O247" s="31">
        <f>1902</f>
        <v>1902</v>
      </c>
      <c r="P247" s="32" t="s">
        <v>904</v>
      </c>
      <c r="Q247" s="31">
        <f>1984</f>
        <v>1984</v>
      </c>
      <c r="R247" s="32" t="s">
        <v>94</v>
      </c>
      <c r="S247" s="33">
        <f>1969.17</f>
        <v>1969.17</v>
      </c>
      <c r="T247" s="30">
        <f>41957</f>
        <v>41957</v>
      </c>
      <c r="U247" s="30">
        <f>1</f>
        <v>1</v>
      </c>
      <c r="V247" s="30">
        <f>82575390</f>
        <v>82575390</v>
      </c>
      <c r="W247" s="30">
        <f>1980</f>
        <v>1980</v>
      </c>
      <c r="X247" s="34">
        <f>18</f>
        <v>18</v>
      </c>
    </row>
    <row r="248" spans="1:24" x14ac:dyDescent="0.15">
      <c r="A248" s="25" t="s">
        <v>903</v>
      </c>
      <c r="B248" s="25" t="s">
        <v>769</v>
      </c>
      <c r="C248" s="25" t="s">
        <v>770</v>
      </c>
      <c r="D248" s="25" t="s">
        <v>771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1167</f>
        <v>1167</v>
      </c>
      <c r="L248" s="32" t="s">
        <v>904</v>
      </c>
      <c r="M248" s="31">
        <f>1167</f>
        <v>1167</v>
      </c>
      <c r="N248" s="32" t="s">
        <v>904</v>
      </c>
      <c r="O248" s="31">
        <f>1063</f>
        <v>1063</v>
      </c>
      <c r="P248" s="32" t="s">
        <v>908</v>
      </c>
      <c r="Q248" s="31">
        <f>1081</f>
        <v>1081</v>
      </c>
      <c r="R248" s="32" t="s">
        <v>94</v>
      </c>
      <c r="S248" s="33">
        <f>1104.83</f>
        <v>1104.83</v>
      </c>
      <c r="T248" s="30">
        <f>453800</f>
        <v>453800</v>
      </c>
      <c r="U248" s="30">
        <f>200000</f>
        <v>200000</v>
      </c>
      <c r="V248" s="30">
        <f>495107997</f>
        <v>495107997</v>
      </c>
      <c r="W248" s="30">
        <f>217720000</f>
        <v>217720000</v>
      </c>
      <c r="X248" s="34">
        <f>18</f>
        <v>18</v>
      </c>
    </row>
    <row r="249" spans="1:24" x14ac:dyDescent="0.15">
      <c r="A249" s="25" t="s">
        <v>903</v>
      </c>
      <c r="B249" s="25" t="s">
        <v>772</v>
      </c>
      <c r="C249" s="25" t="s">
        <v>773</v>
      </c>
      <c r="D249" s="25" t="s">
        <v>774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1109</f>
        <v>1109</v>
      </c>
      <c r="L249" s="32" t="s">
        <v>904</v>
      </c>
      <c r="M249" s="31">
        <f>1109</f>
        <v>1109</v>
      </c>
      <c r="N249" s="32" t="s">
        <v>904</v>
      </c>
      <c r="O249" s="31">
        <f>1043</f>
        <v>1043</v>
      </c>
      <c r="P249" s="32" t="s">
        <v>820</v>
      </c>
      <c r="Q249" s="31">
        <f>1065</f>
        <v>1065</v>
      </c>
      <c r="R249" s="32" t="s">
        <v>94</v>
      </c>
      <c r="S249" s="33">
        <f>1070.14</f>
        <v>1070.1400000000001</v>
      </c>
      <c r="T249" s="30">
        <f>52740</f>
        <v>52740</v>
      </c>
      <c r="U249" s="30">
        <f>20</f>
        <v>20</v>
      </c>
      <c r="V249" s="30">
        <f>56329495</f>
        <v>56329495</v>
      </c>
      <c r="W249" s="30">
        <f>21335</f>
        <v>21335</v>
      </c>
      <c r="X249" s="34">
        <f>18</f>
        <v>18</v>
      </c>
    </row>
    <row r="250" spans="1:24" x14ac:dyDescent="0.15">
      <c r="A250" s="25" t="s">
        <v>903</v>
      </c>
      <c r="B250" s="25" t="s">
        <v>775</v>
      </c>
      <c r="C250" s="25" t="s">
        <v>776</v>
      </c>
      <c r="D250" s="25" t="s">
        <v>777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238.1</f>
        <v>238.1</v>
      </c>
      <c r="L250" s="32" t="s">
        <v>904</v>
      </c>
      <c r="M250" s="31">
        <f>256</f>
        <v>256</v>
      </c>
      <c r="N250" s="32" t="s">
        <v>906</v>
      </c>
      <c r="O250" s="31">
        <f>232</f>
        <v>232</v>
      </c>
      <c r="P250" s="32" t="s">
        <v>820</v>
      </c>
      <c r="Q250" s="31">
        <f>234.5</f>
        <v>234.5</v>
      </c>
      <c r="R250" s="32" t="s">
        <v>94</v>
      </c>
      <c r="S250" s="33">
        <f>245.43</f>
        <v>245.43</v>
      </c>
      <c r="T250" s="30">
        <f>26260</f>
        <v>26260</v>
      </c>
      <c r="U250" s="30" t="str">
        <f>"－"</f>
        <v>－</v>
      </c>
      <c r="V250" s="30">
        <f>6506414</f>
        <v>6506414</v>
      </c>
      <c r="W250" s="30" t="str">
        <f>"－"</f>
        <v>－</v>
      </c>
      <c r="X250" s="34">
        <f>18</f>
        <v>18</v>
      </c>
    </row>
    <row r="251" spans="1:24" x14ac:dyDescent="0.15">
      <c r="A251" s="25" t="s">
        <v>903</v>
      </c>
      <c r="B251" s="25" t="s">
        <v>778</v>
      </c>
      <c r="C251" s="25" t="s">
        <v>779</v>
      </c>
      <c r="D251" s="25" t="s">
        <v>780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2949</f>
        <v>2949</v>
      </c>
      <c r="L251" s="32" t="s">
        <v>904</v>
      </c>
      <c r="M251" s="31">
        <f>3000</f>
        <v>3000</v>
      </c>
      <c r="N251" s="32" t="s">
        <v>909</v>
      </c>
      <c r="O251" s="31">
        <f>2587.5</f>
        <v>2587.5</v>
      </c>
      <c r="P251" s="32" t="s">
        <v>820</v>
      </c>
      <c r="Q251" s="31">
        <f>2760</f>
        <v>2760</v>
      </c>
      <c r="R251" s="32" t="s">
        <v>94</v>
      </c>
      <c r="S251" s="33">
        <f>2856.81</f>
        <v>2856.81</v>
      </c>
      <c r="T251" s="30">
        <f>2249620</f>
        <v>2249620</v>
      </c>
      <c r="U251" s="30">
        <f>17250</f>
        <v>17250</v>
      </c>
      <c r="V251" s="30">
        <f>6327858895</f>
        <v>6327858895</v>
      </c>
      <c r="W251" s="30">
        <f>50277520</f>
        <v>50277520</v>
      </c>
      <c r="X251" s="34">
        <f>18</f>
        <v>18</v>
      </c>
    </row>
    <row r="252" spans="1:24" x14ac:dyDescent="0.15">
      <c r="A252" s="25" t="s">
        <v>903</v>
      </c>
      <c r="B252" s="25" t="s">
        <v>781</v>
      </c>
      <c r="C252" s="25" t="s">
        <v>782</v>
      </c>
      <c r="D252" s="25" t="s">
        <v>783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2675.5</f>
        <v>2675.5</v>
      </c>
      <c r="L252" s="32" t="s">
        <v>904</v>
      </c>
      <c r="M252" s="31">
        <f>2730</f>
        <v>2730</v>
      </c>
      <c r="N252" s="32" t="s">
        <v>909</v>
      </c>
      <c r="O252" s="31">
        <f>2360</f>
        <v>2360</v>
      </c>
      <c r="P252" s="32" t="s">
        <v>820</v>
      </c>
      <c r="Q252" s="31">
        <f>2493.5</f>
        <v>2493.5</v>
      </c>
      <c r="R252" s="32" t="s">
        <v>94</v>
      </c>
      <c r="S252" s="33">
        <f>2590.94</f>
        <v>2590.94</v>
      </c>
      <c r="T252" s="30">
        <f>4235830</f>
        <v>4235830</v>
      </c>
      <c r="U252" s="30">
        <f>2097880</f>
        <v>2097880</v>
      </c>
      <c r="V252" s="30">
        <f>10987799608</f>
        <v>10987799608</v>
      </c>
      <c r="W252" s="30">
        <f>5590808983</f>
        <v>5590808983</v>
      </c>
      <c r="X252" s="34">
        <f>18</f>
        <v>18</v>
      </c>
    </row>
    <row r="253" spans="1:24" x14ac:dyDescent="0.15">
      <c r="A253" s="25" t="s">
        <v>903</v>
      </c>
      <c r="B253" s="25" t="s">
        <v>784</v>
      </c>
      <c r="C253" s="25" t="s">
        <v>785</v>
      </c>
      <c r="D253" s="25" t="s">
        <v>786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2662</f>
        <v>2662</v>
      </c>
      <c r="L253" s="32" t="s">
        <v>904</v>
      </c>
      <c r="M253" s="31">
        <f>2664</f>
        <v>2664</v>
      </c>
      <c r="N253" s="32" t="s">
        <v>905</v>
      </c>
      <c r="O253" s="31">
        <f>2634</f>
        <v>2634</v>
      </c>
      <c r="P253" s="32" t="s">
        <v>820</v>
      </c>
      <c r="Q253" s="31">
        <f>2656</f>
        <v>2656</v>
      </c>
      <c r="R253" s="32" t="s">
        <v>94</v>
      </c>
      <c r="S253" s="33">
        <f>2652</f>
        <v>2652</v>
      </c>
      <c r="T253" s="30">
        <f>1471413</f>
        <v>1471413</v>
      </c>
      <c r="U253" s="30">
        <f>939000</f>
        <v>939000</v>
      </c>
      <c r="V253" s="30">
        <f>3903116099</f>
        <v>3903116099</v>
      </c>
      <c r="W253" s="30">
        <f>2491168500</f>
        <v>2491168500</v>
      </c>
      <c r="X253" s="34">
        <f>18</f>
        <v>18</v>
      </c>
    </row>
    <row r="254" spans="1:24" x14ac:dyDescent="0.15">
      <c r="A254" s="25" t="s">
        <v>903</v>
      </c>
      <c r="B254" s="25" t="s">
        <v>787</v>
      </c>
      <c r="C254" s="25" t="s">
        <v>788</v>
      </c>
      <c r="D254" s="25" t="s">
        <v>789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2167</f>
        <v>2167</v>
      </c>
      <c r="L254" s="32" t="s">
        <v>904</v>
      </c>
      <c r="M254" s="31">
        <f>2179</f>
        <v>2179</v>
      </c>
      <c r="N254" s="32" t="s">
        <v>907</v>
      </c>
      <c r="O254" s="31">
        <f>2060</f>
        <v>2060</v>
      </c>
      <c r="P254" s="32" t="s">
        <v>906</v>
      </c>
      <c r="Q254" s="31">
        <f>2111</f>
        <v>2111</v>
      </c>
      <c r="R254" s="32" t="s">
        <v>94</v>
      </c>
      <c r="S254" s="33">
        <f>2116.94</f>
        <v>2116.94</v>
      </c>
      <c r="T254" s="30">
        <f>1399608</f>
        <v>1399608</v>
      </c>
      <c r="U254" s="30">
        <f>2</f>
        <v>2</v>
      </c>
      <c r="V254" s="30">
        <f>2947713742</f>
        <v>2947713742</v>
      </c>
      <c r="W254" s="30">
        <f>4282</f>
        <v>4282</v>
      </c>
      <c r="X254" s="34">
        <f>18</f>
        <v>18</v>
      </c>
    </row>
    <row r="255" spans="1:24" x14ac:dyDescent="0.15">
      <c r="A255" s="25" t="s">
        <v>903</v>
      </c>
      <c r="B255" s="25" t="s">
        <v>790</v>
      </c>
      <c r="C255" s="25" t="s">
        <v>791</v>
      </c>
      <c r="D255" s="25" t="s">
        <v>792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2371</f>
        <v>2371</v>
      </c>
      <c r="L255" s="32" t="s">
        <v>904</v>
      </c>
      <c r="M255" s="31">
        <f>2372</f>
        <v>2372</v>
      </c>
      <c r="N255" s="32" t="s">
        <v>907</v>
      </c>
      <c r="O255" s="31">
        <f>2214</f>
        <v>2214</v>
      </c>
      <c r="P255" s="32" t="s">
        <v>94</v>
      </c>
      <c r="Q255" s="31">
        <f>2214</f>
        <v>2214</v>
      </c>
      <c r="R255" s="32" t="s">
        <v>94</v>
      </c>
      <c r="S255" s="33">
        <f>2316.44</f>
        <v>2316.44</v>
      </c>
      <c r="T255" s="30">
        <f>101107</f>
        <v>101107</v>
      </c>
      <c r="U255" s="30">
        <f>58545</f>
        <v>58545</v>
      </c>
      <c r="V255" s="30">
        <f>234768261</f>
        <v>234768261</v>
      </c>
      <c r="W255" s="30">
        <f>138946019</f>
        <v>138946019</v>
      </c>
      <c r="X255" s="34">
        <f>18</f>
        <v>18</v>
      </c>
    </row>
    <row r="256" spans="1:24" x14ac:dyDescent="0.15">
      <c r="A256" s="25" t="s">
        <v>903</v>
      </c>
      <c r="B256" s="25" t="s">
        <v>793</v>
      </c>
      <c r="C256" s="25" t="s">
        <v>794</v>
      </c>
      <c r="D256" s="25" t="s">
        <v>795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2471</f>
        <v>2471</v>
      </c>
      <c r="L256" s="32" t="s">
        <v>904</v>
      </c>
      <c r="M256" s="31">
        <f>2474</f>
        <v>2474</v>
      </c>
      <c r="N256" s="32" t="s">
        <v>909</v>
      </c>
      <c r="O256" s="31">
        <f>2395</f>
        <v>2395</v>
      </c>
      <c r="P256" s="32" t="s">
        <v>815</v>
      </c>
      <c r="Q256" s="31">
        <f>2405</f>
        <v>2405</v>
      </c>
      <c r="R256" s="32" t="s">
        <v>94</v>
      </c>
      <c r="S256" s="33">
        <f>2417.94</f>
        <v>2417.94</v>
      </c>
      <c r="T256" s="30">
        <f>10403</f>
        <v>10403</v>
      </c>
      <c r="U256" s="30" t="str">
        <f>"－"</f>
        <v>－</v>
      </c>
      <c r="V256" s="30">
        <f>25209273</f>
        <v>25209273</v>
      </c>
      <c r="W256" s="30" t="str">
        <f>"－"</f>
        <v>－</v>
      </c>
      <c r="X256" s="34">
        <f>18</f>
        <v>18</v>
      </c>
    </row>
    <row r="257" spans="1:24" x14ac:dyDescent="0.15">
      <c r="A257" s="25" t="s">
        <v>903</v>
      </c>
      <c r="B257" s="25" t="s">
        <v>796</v>
      </c>
      <c r="C257" s="25" t="s">
        <v>797</v>
      </c>
      <c r="D257" s="25" t="s">
        <v>798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2735</f>
        <v>2735</v>
      </c>
      <c r="L257" s="32" t="s">
        <v>904</v>
      </c>
      <c r="M257" s="31">
        <f>2787</f>
        <v>2787</v>
      </c>
      <c r="N257" s="32" t="s">
        <v>905</v>
      </c>
      <c r="O257" s="31">
        <f>2577</f>
        <v>2577</v>
      </c>
      <c r="P257" s="32" t="s">
        <v>820</v>
      </c>
      <c r="Q257" s="31">
        <f>2653</f>
        <v>2653</v>
      </c>
      <c r="R257" s="32" t="s">
        <v>94</v>
      </c>
      <c r="S257" s="33">
        <f>2706.06</f>
        <v>2706.06</v>
      </c>
      <c r="T257" s="30">
        <f>633532</f>
        <v>633532</v>
      </c>
      <c r="U257" s="30">
        <f>37182</f>
        <v>37182</v>
      </c>
      <c r="V257" s="30">
        <f>1708917340</f>
        <v>1708917340</v>
      </c>
      <c r="W257" s="30">
        <f>99998047</f>
        <v>99998047</v>
      </c>
      <c r="X257" s="34">
        <f>18</f>
        <v>18</v>
      </c>
    </row>
    <row r="258" spans="1:24" x14ac:dyDescent="0.15">
      <c r="A258" s="25" t="s">
        <v>903</v>
      </c>
      <c r="B258" s="25" t="s">
        <v>799</v>
      </c>
      <c r="C258" s="25" t="s">
        <v>800</v>
      </c>
      <c r="D258" s="25" t="s">
        <v>801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1918</f>
        <v>1918</v>
      </c>
      <c r="L258" s="32" t="s">
        <v>904</v>
      </c>
      <c r="M258" s="31">
        <f>1969</f>
        <v>1969</v>
      </c>
      <c r="N258" s="32" t="s">
        <v>905</v>
      </c>
      <c r="O258" s="31">
        <f>1844</f>
        <v>1844</v>
      </c>
      <c r="P258" s="32" t="s">
        <v>820</v>
      </c>
      <c r="Q258" s="31">
        <f>1887</f>
        <v>1887</v>
      </c>
      <c r="R258" s="32" t="s">
        <v>94</v>
      </c>
      <c r="S258" s="33">
        <f>1918.06</f>
        <v>1918.06</v>
      </c>
      <c r="T258" s="30">
        <f>359989</f>
        <v>359989</v>
      </c>
      <c r="U258" s="30" t="str">
        <f>"－"</f>
        <v>－</v>
      </c>
      <c r="V258" s="30">
        <f>696447066</f>
        <v>696447066</v>
      </c>
      <c r="W258" s="30" t="str">
        <f>"－"</f>
        <v>－</v>
      </c>
      <c r="X258" s="34">
        <f>18</f>
        <v>18</v>
      </c>
    </row>
    <row r="259" spans="1:24" x14ac:dyDescent="0.15">
      <c r="A259" s="25" t="s">
        <v>903</v>
      </c>
      <c r="B259" s="25" t="s">
        <v>802</v>
      </c>
      <c r="C259" s="25" t="s">
        <v>803</v>
      </c>
      <c r="D259" s="25" t="s">
        <v>804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1844</f>
        <v>1844</v>
      </c>
      <c r="L259" s="32" t="s">
        <v>904</v>
      </c>
      <c r="M259" s="31">
        <f>1914</f>
        <v>1914</v>
      </c>
      <c r="N259" s="32" t="s">
        <v>905</v>
      </c>
      <c r="O259" s="31">
        <f>1785</f>
        <v>1785</v>
      </c>
      <c r="P259" s="32" t="s">
        <v>820</v>
      </c>
      <c r="Q259" s="31">
        <f>1850</f>
        <v>1850</v>
      </c>
      <c r="R259" s="32" t="s">
        <v>94</v>
      </c>
      <c r="S259" s="33">
        <f>1844.61</f>
        <v>1844.61</v>
      </c>
      <c r="T259" s="30">
        <f>22814</f>
        <v>22814</v>
      </c>
      <c r="U259" s="30" t="str">
        <f>"－"</f>
        <v>－</v>
      </c>
      <c r="V259" s="30">
        <f>42078088</f>
        <v>42078088</v>
      </c>
      <c r="W259" s="30" t="str">
        <f>"－"</f>
        <v>－</v>
      </c>
      <c r="X259" s="34">
        <f>18</f>
        <v>18</v>
      </c>
    </row>
    <row r="260" spans="1:24" x14ac:dyDescent="0.15">
      <c r="A260" s="25" t="s">
        <v>903</v>
      </c>
      <c r="B260" s="25" t="s">
        <v>805</v>
      </c>
      <c r="C260" s="25" t="s">
        <v>806</v>
      </c>
      <c r="D260" s="25" t="s">
        <v>807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1703</f>
        <v>1703</v>
      </c>
      <c r="L260" s="32" t="s">
        <v>904</v>
      </c>
      <c r="M260" s="31">
        <f>1741</f>
        <v>1741</v>
      </c>
      <c r="N260" s="32" t="s">
        <v>906</v>
      </c>
      <c r="O260" s="31">
        <f>1598</f>
        <v>1598</v>
      </c>
      <c r="P260" s="32" t="s">
        <v>820</v>
      </c>
      <c r="Q260" s="31">
        <f>1671</f>
        <v>1671</v>
      </c>
      <c r="R260" s="32" t="s">
        <v>94</v>
      </c>
      <c r="S260" s="33">
        <f>1672.39</f>
        <v>1672.39</v>
      </c>
      <c r="T260" s="30">
        <f>172053</f>
        <v>172053</v>
      </c>
      <c r="U260" s="30" t="str">
        <f>"－"</f>
        <v>－</v>
      </c>
      <c r="V260" s="30">
        <f>286298732</f>
        <v>286298732</v>
      </c>
      <c r="W260" s="30" t="str">
        <f>"－"</f>
        <v>－</v>
      </c>
      <c r="X260" s="34">
        <f>18</f>
        <v>18</v>
      </c>
    </row>
    <row r="261" spans="1:24" x14ac:dyDescent="0.15">
      <c r="A261" s="25" t="s">
        <v>903</v>
      </c>
      <c r="B261" s="25" t="s">
        <v>824</v>
      </c>
      <c r="C261" s="25" t="s">
        <v>825</v>
      </c>
      <c r="D261" s="25" t="s">
        <v>826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2342</f>
        <v>2342</v>
      </c>
      <c r="L261" s="32" t="s">
        <v>904</v>
      </c>
      <c r="M261" s="31">
        <f>2343</f>
        <v>2343</v>
      </c>
      <c r="N261" s="32" t="s">
        <v>904</v>
      </c>
      <c r="O261" s="31">
        <f>2145</f>
        <v>2145</v>
      </c>
      <c r="P261" s="32" t="s">
        <v>695</v>
      </c>
      <c r="Q261" s="31">
        <f>2320</f>
        <v>2320</v>
      </c>
      <c r="R261" s="32" t="s">
        <v>94</v>
      </c>
      <c r="S261" s="33">
        <f>2248.22</f>
        <v>2248.2199999999998</v>
      </c>
      <c r="T261" s="30">
        <f>22793</f>
        <v>22793</v>
      </c>
      <c r="U261" s="30">
        <f>11</f>
        <v>11</v>
      </c>
      <c r="V261" s="30">
        <f>51617993</f>
        <v>51617993</v>
      </c>
      <c r="W261" s="30">
        <f>23562</f>
        <v>23562</v>
      </c>
      <c r="X261" s="34">
        <f>18</f>
        <v>18</v>
      </c>
    </row>
    <row r="262" spans="1:24" x14ac:dyDescent="0.15">
      <c r="A262" s="25" t="s">
        <v>903</v>
      </c>
      <c r="B262" s="25" t="s">
        <v>827</v>
      </c>
      <c r="C262" s="25" t="s">
        <v>828</v>
      </c>
      <c r="D262" s="25" t="s">
        <v>829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2693</f>
        <v>2693</v>
      </c>
      <c r="L262" s="32" t="s">
        <v>904</v>
      </c>
      <c r="M262" s="31">
        <f>2722</f>
        <v>2722</v>
      </c>
      <c r="N262" s="32" t="s">
        <v>905</v>
      </c>
      <c r="O262" s="31">
        <f>2575</f>
        <v>2575</v>
      </c>
      <c r="P262" s="32" t="s">
        <v>820</v>
      </c>
      <c r="Q262" s="31">
        <f>2592</f>
        <v>2592</v>
      </c>
      <c r="R262" s="32" t="s">
        <v>94</v>
      </c>
      <c r="S262" s="33">
        <f>2665.22</f>
        <v>2665.22</v>
      </c>
      <c r="T262" s="30">
        <f>3050</f>
        <v>3050</v>
      </c>
      <c r="U262" s="30" t="str">
        <f>"－"</f>
        <v>－</v>
      </c>
      <c r="V262" s="30">
        <f>8100032</f>
        <v>8100032</v>
      </c>
      <c r="W262" s="30" t="str">
        <f>"－"</f>
        <v>－</v>
      </c>
      <c r="X262" s="34">
        <f>18</f>
        <v>18</v>
      </c>
    </row>
    <row r="263" spans="1:24" x14ac:dyDescent="0.15">
      <c r="A263" s="25" t="s">
        <v>903</v>
      </c>
      <c r="B263" s="25" t="s">
        <v>830</v>
      </c>
      <c r="C263" s="25" t="s">
        <v>831</v>
      </c>
      <c r="D263" s="25" t="s">
        <v>832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11650</f>
        <v>11650</v>
      </c>
      <c r="L263" s="32" t="s">
        <v>904</v>
      </c>
      <c r="M263" s="31">
        <f>11850</f>
        <v>11850</v>
      </c>
      <c r="N263" s="32" t="s">
        <v>905</v>
      </c>
      <c r="O263" s="31">
        <f>10650</f>
        <v>10650</v>
      </c>
      <c r="P263" s="32" t="s">
        <v>820</v>
      </c>
      <c r="Q263" s="31">
        <f>11100</f>
        <v>11100</v>
      </c>
      <c r="R263" s="32" t="s">
        <v>94</v>
      </c>
      <c r="S263" s="33">
        <f>11446.11</f>
        <v>11446.11</v>
      </c>
      <c r="T263" s="30">
        <f>667973</f>
        <v>667973</v>
      </c>
      <c r="U263" s="30">
        <f>533442</f>
        <v>533442</v>
      </c>
      <c r="V263" s="30">
        <f>7761061811</f>
        <v>7761061811</v>
      </c>
      <c r="W263" s="30">
        <f>6235245006</f>
        <v>6235245006</v>
      </c>
      <c r="X263" s="34">
        <f>18</f>
        <v>18</v>
      </c>
    </row>
    <row r="264" spans="1:24" x14ac:dyDescent="0.15">
      <c r="A264" s="25" t="s">
        <v>903</v>
      </c>
      <c r="B264" s="25" t="s">
        <v>833</v>
      </c>
      <c r="C264" s="25" t="s">
        <v>834</v>
      </c>
      <c r="D264" s="25" t="s">
        <v>835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12320</f>
        <v>12320</v>
      </c>
      <c r="L264" s="32" t="s">
        <v>904</v>
      </c>
      <c r="M264" s="31">
        <f>12530</f>
        <v>12530</v>
      </c>
      <c r="N264" s="32" t="s">
        <v>909</v>
      </c>
      <c r="O264" s="31">
        <f>10810</f>
        <v>10810</v>
      </c>
      <c r="P264" s="32" t="s">
        <v>820</v>
      </c>
      <c r="Q264" s="31">
        <f>11530</f>
        <v>11530</v>
      </c>
      <c r="R264" s="32" t="s">
        <v>94</v>
      </c>
      <c r="S264" s="33">
        <f>11933.06</f>
        <v>11933.06</v>
      </c>
      <c r="T264" s="30">
        <f>675297</f>
        <v>675297</v>
      </c>
      <c r="U264" s="30">
        <f>5</f>
        <v>5</v>
      </c>
      <c r="V264" s="30">
        <f>7915009735</f>
        <v>7915009735</v>
      </c>
      <c r="W264" s="30">
        <f>56300</f>
        <v>56300</v>
      </c>
      <c r="X264" s="34">
        <f>18</f>
        <v>18</v>
      </c>
    </row>
    <row r="265" spans="1:24" x14ac:dyDescent="0.15">
      <c r="A265" s="25" t="s">
        <v>903</v>
      </c>
      <c r="B265" s="25" t="s">
        <v>836</v>
      </c>
      <c r="C265" s="25" t="s">
        <v>837</v>
      </c>
      <c r="D265" s="25" t="s">
        <v>838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11225</f>
        <v>11225</v>
      </c>
      <c r="L265" s="32" t="s">
        <v>904</v>
      </c>
      <c r="M265" s="31">
        <f>11470</f>
        <v>11470</v>
      </c>
      <c r="N265" s="32" t="s">
        <v>909</v>
      </c>
      <c r="O265" s="31">
        <f>9920</f>
        <v>9920</v>
      </c>
      <c r="P265" s="32" t="s">
        <v>820</v>
      </c>
      <c r="Q265" s="31">
        <f>10485</f>
        <v>10485</v>
      </c>
      <c r="R265" s="32" t="s">
        <v>94</v>
      </c>
      <c r="S265" s="33">
        <f>10886.78</f>
        <v>10886.78</v>
      </c>
      <c r="T265" s="30">
        <f>224015</f>
        <v>224015</v>
      </c>
      <c r="U265" s="30">
        <f>14002</f>
        <v>14002</v>
      </c>
      <c r="V265" s="30">
        <f>2436772015</f>
        <v>2436772015</v>
      </c>
      <c r="W265" s="30">
        <f>142624015</f>
        <v>142624015</v>
      </c>
      <c r="X265" s="34">
        <f>18</f>
        <v>18</v>
      </c>
    </row>
    <row r="266" spans="1:24" x14ac:dyDescent="0.15">
      <c r="A266" s="25" t="s">
        <v>903</v>
      </c>
      <c r="B266" s="25" t="s">
        <v>839</v>
      </c>
      <c r="C266" s="25" t="s">
        <v>840</v>
      </c>
      <c r="D266" s="25" t="s">
        <v>841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2405.5</f>
        <v>2405.5</v>
      </c>
      <c r="L266" s="32" t="s">
        <v>904</v>
      </c>
      <c r="M266" s="31">
        <f>2462.5</f>
        <v>2462.5</v>
      </c>
      <c r="N266" s="32" t="s">
        <v>905</v>
      </c>
      <c r="O266" s="31">
        <f>2191.5</f>
        <v>2191.5</v>
      </c>
      <c r="P266" s="32" t="s">
        <v>820</v>
      </c>
      <c r="Q266" s="31">
        <f>2302.5</f>
        <v>2302.5</v>
      </c>
      <c r="R266" s="32" t="s">
        <v>94</v>
      </c>
      <c r="S266" s="33">
        <f>2368.42</f>
        <v>2368.42</v>
      </c>
      <c r="T266" s="30">
        <f>1580490</f>
        <v>1580490</v>
      </c>
      <c r="U266" s="30">
        <f>116470</f>
        <v>116470</v>
      </c>
      <c r="V266" s="30">
        <f>3670610440</f>
        <v>3670610440</v>
      </c>
      <c r="W266" s="30">
        <f>269323950</f>
        <v>269323950</v>
      </c>
      <c r="X266" s="34">
        <f>18</f>
        <v>18</v>
      </c>
    </row>
    <row r="267" spans="1:24" x14ac:dyDescent="0.15">
      <c r="A267" s="25" t="s">
        <v>903</v>
      </c>
      <c r="B267" s="25" t="s">
        <v>842</v>
      </c>
      <c r="C267" s="25" t="s">
        <v>843</v>
      </c>
      <c r="D267" s="25" t="s">
        <v>844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2280.5</f>
        <v>2280.5</v>
      </c>
      <c r="L267" s="32" t="s">
        <v>904</v>
      </c>
      <c r="M267" s="31">
        <f>2323</f>
        <v>2323</v>
      </c>
      <c r="N267" s="32" t="s">
        <v>905</v>
      </c>
      <c r="O267" s="31">
        <f>2089</f>
        <v>2089</v>
      </c>
      <c r="P267" s="32" t="s">
        <v>820</v>
      </c>
      <c r="Q267" s="31">
        <f>2174</f>
        <v>2174</v>
      </c>
      <c r="R267" s="32" t="s">
        <v>94</v>
      </c>
      <c r="S267" s="33">
        <f>2243.58</f>
        <v>2243.58</v>
      </c>
      <c r="T267" s="30">
        <f>3301050</f>
        <v>3301050</v>
      </c>
      <c r="U267" s="30">
        <f>2171120</f>
        <v>2171120</v>
      </c>
      <c r="V267" s="30">
        <f>7298255948</f>
        <v>7298255948</v>
      </c>
      <c r="W267" s="30">
        <f>4800849018</f>
        <v>4800849018</v>
      </c>
      <c r="X267" s="34">
        <f>18</f>
        <v>18</v>
      </c>
    </row>
    <row r="268" spans="1:24" x14ac:dyDescent="0.15">
      <c r="A268" s="25" t="s">
        <v>903</v>
      </c>
      <c r="B268" s="25" t="s">
        <v>845</v>
      </c>
      <c r="C268" s="25" t="s">
        <v>846</v>
      </c>
      <c r="D268" s="25" t="s">
        <v>847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10</v>
      </c>
      <c r="K268" s="31">
        <f>2465</f>
        <v>2465</v>
      </c>
      <c r="L268" s="32" t="s">
        <v>904</v>
      </c>
      <c r="M268" s="31">
        <f>2532.5</f>
        <v>2532.5</v>
      </c>
      <c r="N268" s="32" t="s">
        <v>905</v>
      </c>
      <c r="O268" s="31">
        <f>2258</f>
        <v>2258</v>
      </c>
      <c r="P268" s="32" t="s">
        <v>820</v>
      </c>
      <c r="Q268" s="31">
        <f>2367</f>
        <v>2367</v>
      </c>
      <c r="R268" s="32" t="s">
        <v>94</v>
      </c>
      <c r="S268" s="33">
        <f>2436.78</f>
        <v>2436.7800000000002</v>
      </c>
      <c r="T268" s="30">
        <f>689360</f>
        <v>689360</v>
      </c>
      <c r="U268" s="30">
        <f>250050</f>
        <v>250050</v>
      </c>
      <c r="V268" s="30">
        <f>1681609760</f>
        <v>1681609760</v>
      </c>
      <c r="W268" s="30">
        <f>601125370</f>
        <v>601125370</v>
      </c>
      <c r="X268" s="34">
        <f>18</f>
        <v>18</v>
      </c>
    </row>
    <row r="269" spans="1:24" x14ac:dyDescent="0.15">
      <c r="A269" s="25" t="s">
        <v>903</v>
      </c>
      <c r="B269" s="25" t="s">
        <v>848</v>
      </c>
      <c r="C269" s="25" t="s">
        <v>849</v>
      </c>
      <c r="D269" s="25" t="s">
        <v>850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2613</f>
        <v>2613</v>
      </c>
      <c r="L269" s="32" t="s">
        <v>904</v>
      </c>
      <c r="M269" s="31">
        <f>2628</f>
        <v>2628</v>
      </c>
      <c r="N269" s="32" t="s">
        <v>905</v>
      </c>
      <c r="O269" s="31">
        <f>2440</f>
        <v>2440</v>
      </c>
      <c r="P269" s="32" t="s">
        <v>820</v>
      </c>
      <c r="Q269" s="31">
        <f>2487</f>
        <v>2487</v>
      </c>
      <c r="R269" s="32" t="s">
        <v>94</v>
      </c>
      <c r="S269" s="33">
        <f>2554.61</f>
        <v>2554.61</v>
      </c>
      <c r="T269" s="30">
        <f>23343</f>
        <v>23343</v>
      </c>
      <c r="U269" s="30" t="str">
        <f>"－"</f>
        <v>－</v>
      </c>
      <c r="V269" s="30">
        <f>60039646</f>
        <v>60039646</v>
      </c>
      <c r="W269" s="30" t="str">
        <f>"－"</f>
        <v>－</v>
      </c>
      <c r="X269" s="34">
        <f>18</f>
        <v>18</v>
      </c>
    </row>
    <row r="270" spans="1:24" x14ac:dyDescent="0.15">
      <c r="A270" s="25" t="s">
        <v>903</v>
      </c>
      <c r="B270" s="25" t="s">
        <v>851</v>
      </c>
      <c r="C270" s="25" t="s">
        <v>852</v>
      </c>
      <c r="D270" s="25" t="s">
        <v>853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1609</f>
        <v>1609</v>
      </c>
      <c r="L270" s="32" t="s">
        <v>904</v>
      </c>
      <c r="M270" s="31">
        <f>1609</f>
        <v>1609</v>
      </c>
      <c r="N270" s="32" t="s">
        <v>904</v>
      </c>
      <c r="O270" s="31">
        <f>1468</f>
        <v>1468</v>
      </c>
      <c r="P270" s="32" t="s">
        <v>820</v>
      </c>
      <c r="Q270" s="31">
        <f>1536</f>
        <v>1536</v>
      </c>
      <c r="R270" s="32" t="s">
        <v>94</v>
      </c>
      <c r="S270" s="33">
        <f>1552.5</f>
        <v>1552.5</v>
      </c>
      <c r="T270" s="30">
        <f>42341</f>
        <v>42341</v>
      </c>
      <c r="U270" s="30">
        <f>3</f>
        <v>3</v>
      </c>
      <c r="V270" s="30">
        <f>66345217</f>
        <v>66345217</v>
      </c>
      <c r="W270" s="30">
        <f>4785</f>
        <v>4785</v>
      </c>
      <c r="X270" s="34">
        <f>18</f>
        <v>18</v>
      </c>
    </row>
    <row r="271" spans="1:24" x14ac:dyDescent="0.15">
      <c r="A271" s="25" t="s">
        <v>903</v>
      </c>
      <c r="B271" s="25" t="s">
        <v>854</v>
      </c>
      <c r="C271" s="25" t="s">
        <v>855</v>
      </c>
      <c r="D271" s="25" t="s">
        <v>856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1980</f>
        <v>1980</v>
      </c>
      <c r="L271" s="32" t="s">
        <v>904</v>
      </c>
      <c r="M271" s="31">
        <f>2020</f>
        <v>2020</v>
      </c>
      <c r="N271" s="32" t="s">
        <v>905</v>
      </c>
      <c r="O271" s="31">
        <f>1839</f>
        <v>1839</v>
      </c>
      <c r="P271" s="32" t="s">
        <v>820</v>
      </c>
      <c r="Q271" s="31">
        <f>1903</f>
        <v>1903</v>
      </c>
      <c r="R271" s="32" t="s">
        <v>94</v>
      </c>
      <c r="S271" s="33">
        <f>1944.28</f>
        <v>1944.28</v>
      </c>
      <c r="T271" s="30">
        <f>120906</f>
        <v>120906</v>
      </c>
      <c r="U271" s="30" t="str">
        <f>"－"</f>
        <v>－</v>
      </c>
      <c r="V271" s="30">
        <f>236253441</f>
        <v>236253441</v>
      </c>
      <c r="W271" s="30" t="str">
        <f>"－"</f>
        <v>－</v>
      </c>
      <c r="X271" s="34">
        <f>18</f>
        <v>18</v>
      </c>
    </row>
    <row r="272" spans="1:24" x14ac:dyDescent="0.15">
      <c r="A272" s="25" t="s">
        <v>903</v>
      </c>
      <c r="B272" s="25" t="s">
        <v>857</v>
      </c>
      <c r="C272" s="25" t="s">
        <v>858</v>
      </c>
      <c r="D272" s="25" t="s">
        <v>859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1600</f>
        <v>1600</v>
      </c>
      <c r="L272" s="32" t="s">
        <v>904</v>
      </c>
      <c r="M272" s="31">
        <f>1602</f>
        <v>1602</v>
      </c>
      <c r="N272" s="32" t="s">
        <v>905</v>
      </c>
      <c r="O272" s="31">
        <f>1505</f>
        <v>1505</v>
      </c>
      <c r="P272" s="32" t="s">
        <v>66</v>
      </c>
      <c r="Q272" s="31">
        <f>1571</f>
        <v>1571</v>
      </c>
      <c r="R272" s="32" t="s">
        <v>94</v>
      </c>
      <c r="S272" s="33">
        <f>1566.5</f>
        <v>1566.5</v>
      </c>
      <c r="T272" s="30">
        <f>219577</f>
        <v>219577</v>
      </c>
      <c r="U272" s="30" t="str">
        <f>"－"</f>
        <v>－</v>
      </c>
      <c r="V272" s="30">
        <f>342586517</f>
        <v>342586517</v>
      </c>
      <c r="W272" s="30" t="str">
        <f>"－"</f>
        <v>－</v>
      </c>
      <c r="X272" s="34">
        <f>18</f>
        <v>18</v>
      </c>
    </row>
    <row r="273" spans="1:24" x14ac:dyDescent="0.15">
      <c r="A273" s="25" t="s">
        <v>903</v>
      </c>
      <c r="B273" s="25" t="s">
        <v>860</v>
      </c>
      <c r="C273" s="25" t="s">
        <v>861</v>
      </c>
      <c r="D273" s="25" t="s">
        <v>862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2368</f>
        <v>2368</v>
      </c>
      <c r="L273" s="32" t="s">
        <v>904</v>
      </c>
      <c r="M273" s="31">
        <f>2493</f>
        <v>2493</v>
      </c>
      <c r="N273" s="32" t="s">
        <v>906</v>
      </c>
      <c r="O273" s="31">
        <f>2337</f>
        <v>2337</v>
      </c>
      <c r="P273" s="32" t="s">
        <v>904</v>
      </c>
      <c r="Q273" s="31">
        <f>2423</f>
        <v>2423</v>
      </c>
      <c r="R273" s="32" t="s">
        <v>94</v>
      </c>
      <c r="S273" s="33">
        <f>2413.5</f>
        <v>2413.5</v>
      </c>
      <c r="T273" s="30">
        <f>130730</f>
        <v>130730</v>
      </c>
      <c r="U273" s="30">
        <f>1</f>
        <v>1</v>
      </c>
      <c r="V273" s="30">
        <f>315164531</f>
        <v>315164531</v>
      </c>
      <c r="W273" s="30">
        <f>2448</f>
        <v>2448</v>
      </c>
      <c r="X273" s="34">
        <f>18</f>
        <v>18</v>
      </c>
    </row>
    <row r="274" spans="1:24" x14ac:dyDescent="0.15">
      <c r="A274" s="25" t="s">
        <v>903</v>
      </c>
      <c r="B274" s="25" t="s">
        <v>863</v>
      </c>
      <c r="C274" s="25" t="s">
        <v>864</v>
      </c>
      <c r="D274" s="25" t="s">
        <v>865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2026</f>
        <v>2026</v>
      </c>
      <c r="L274" s="32" t="s">
        <v>904</v>
      </c>
      <c r="M274" s="31">
        <f>2076</f>
        <v>2076</v>
      </c>
      <c r="N274" s="32" t="s">
        <v>905</v>
      </c>
      <c r="O274" s="31">
        <f>1894</f>
        <v>1894</v>
      </c>
      <c r="P274" s="32" t="s">
        <v>820</v>
      </c>
      <c r="Q274" s="31">
        <f>1923</f>
        <v>1923</v>
      </c>
      <c r="R274" s="32" t="s">
        <v>94</v>
      </c>
      <c r="S274" s="33">
        <f>1994.44</f>
        <v>1994.44</v>
      </c>
      <c r="T274" s="30">
        <f>292886</f>
        <v>292886</v>
      </c>
      <c r="U274" s="30">
        <f>20000</f>
        <v>20000</v>
      </c>
      <c r="V274" s="30">
        <f>585913479</f>
        <v>585913479</v>
      </c>
      <c r="W274" s="30">
        <f>40989180</f>
        <v>40989180</v>
      </c>
      <c r="X274" s="34">
        <f>18</f>
        <v>18</v>
      </c>
    </row>
    <row r="275" spans="1:24" x14ac:dyDescent="0.15">
      <c r="A275" s="25" t="s">
        <v>903</v>
      </c>
      <c r="B275" s="25" t="s">
        <v>866</v>
      </c>
      <c r="C275" s="25" t="s">
        <v>867</v>
      </c>
      <c r="D275" s="25" t="s">
        <v>868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25330</f>
        <v>25330</v>
      </c>
      <c r="L275" s="32" t="s">
        <v>904</v>
      </c>
      <c r="M275" s="31">
        <f>26160</f>
        <v>26160</v>
      </c>
      <c r="N275" s="32" t="s">
        <v>905</v>
      </c>
      <c r="O275" s="31">
        <f>24555</f>
        <v>24555</v>
      </c>
      <c r="P275" s="32" t="s">
        <v>820</v>
      </c>
      <c r="Q275" s="31">
        <f>24790</f>
        <v>24790</v>
      </c>
      <c r="R275" s="32" t="s">
        <v>94</v>
      </c>
      <c r="S275" s="33">
        <f>25397.73</f>
        <v>25397.73</v>
      </c>
      <c r="T275" s="30">
        <f>18</f>
        <v>18</v>
      </c>
      <c r="U275" s="30" t="str">
        <f>"－"</f>
        <v>－</v>
      </c>
      <c r="V275" s="30">
        <f>455420</f>
        <v>455420</v>
      </c>
      <c r="W275" s="30" t="str">
        <f>"－"</f>
        <v>－</v>
      </c>
      <c r="X275" s="34">
        <f>11</f>
        <v>11</v>
      </c>
    </row>
    <row r="276" spans="1:24" x14ac:dyDescent="0.15">
      <c r="A276" s="25" t="s">
        <v>903</v>
      </c>
      <c r="B276" s="25" t="s">
        <v>869</v>
      </c>
      <c r="C276" s="25" t="s">
        <v>870</v>
      </c>
      <c r="D276" s="25" t="s">
        <v>871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2012</f>
        <v>2012</v>
      </c>
      <c r="L276" s="32" t="s">
        <v>904</v>
      </c>
      <c r="M276" s="31">
        <f>2070</f>
        <v>2070</v>
      </c>
      <c r="N276" s="32" t="s">
        <v>905</v>
      </c>
      <c r="O276" s="31">
        <f>1936</f>
        <v>1936</v>
      </c>
      <c r="P276" s="32" t="s">
        <v>820</v>
      </c>
      <c r="Q276" s="31">
        <f>1973</f>
        <v>1973</v>
      </c>
      <c r="R276" s="32" t="s">
        <v>94</v>
      </c>
      <c r="S276" s="33">
        <f>2014.94</f>
        <v>2014.94</v>
      </c>
      <c r="T276" s="30">
        <f>14897</f>
        <v>14897</v>
      </c>
      <c r="U276" s="30" t="str">
        <f>"－"</f>
        <v>－</v>
      </c>
      <c r="V276" s="30">
        <f>30277834</f>
        <v>30277834</v>
      </c>
      <c r="W276" s="30" t="str">
        <f>"－"</f>
        <v>－</v>
      </c>
      <c r="X276" s="34">
        <f>18</f>
        <v>18</v>
      </c>
    </row>
    <row r="277" spans="1:24" x14ac:dyDescent="0.15">
      <c r="A277" s="25" t="s">
        <v>903</v>
      </c>
      <c r="B277" s="25" t="s">
        <v>872</v>
      </c>
      <c r="C277" s="25" t="s">
        <v>873</v>
      </c>
      <c r="D277" s="25" t="s">
        <v>874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2366</f>
        <v>2366</v>
      </c>
      <c r="L277" s="32" t="s">
        <v>904</v>
      </c>
      <c r="M277" s="31">
        <f>2366</f>
        <v>2366</v>
      </c>
      <c r="N277" s="32" t="s">
        <v>904</v>
      </c>
      <c r="O277" s="31">
        <f>2065</f>
        <v>2065</v>
      </c>
      <c r="P277" s="32" t="s">
        <v>820</v>
      </c>
      <c r="Q277" s="31">
        <f>2177</f>
        <v>2177</v>
      </c>
      <c r="R277" s="32" t="s">
        <v>94</v>
      </c>
      <c r="S277" s="33">
        <f>2234.89</f>
        <v>2234.89</v>
      </c>
      <c r="T277" s="30">
        <f>390474</f>
        <v>390474</v>
      </c>
      <c r="U277" s="30" t="str">
        <f>"－"</f>
        <v>－</v>
      </c>
      <c r="V277" s="30">
        <f>880665189</f>
        <v>880665189</v>
      </c>
      <c r="W277" s="30" t="str">
        <f>"－"</f>
        <v>－</v>
      </c>
      <c r="X277" s="34">
        <f>18</f>
        <v>18</v>
      </c>
    </row>
    <row r="278" spans="1:24" x14ac:dyDescent="0.15">
      <c r="A278" s="25" t="s">
        <v>903</v>
      </c>
      <c r="B278" s="25" t="s">
        <v>875</v>
      </c>
      <c r="C278" s="25" t="s">
        <v>876</v>
      </c>
      <c r="D278" s="25" t="s">
        <v>877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1847</f>
        <v>1847</v>
      </c>
      <c r="L278" s="32" t="s">
        <v>904</v>
      </c>
      <c r="M278" s="31">
        <f>1955</f>
        <v>1955</v>
      </c>
      <c r="N278" s="32" t="s">
        <v>905</v>
      </c>
      <c r="O278" s="31">
        <f>1821</f>
        <v>1821</v>
      </c>
      <c r="P278" s="32" t="s">
        <v>820</v>
      </c>
      <c r="Q278" s="31">
        <f>1877</f>
        <v>1877</v>
      </c>
      <c r="R278" s="32" t="s">
        <v>94</v>
      </c>
      <c r="S278" s="33">
        <f>1894.11</f>
        <v>1894.11</v>
      </c>
      <c r="T278" s="30">
        <f>24347</f>
        <v>24347</v>
      </c>
      <c r="U278" s="30" t="str">
        <f>"－"</f>
        <v>－</v>
      </c>
      <c r="V278" s="30">
        <f>46336439</f>
        <v>46336439</v>
      </c>
      <c r="W278" s="30" t="str">
        <f>"－"</f>
        <v>－</v>
      </c>
      <c r="X278" s="34">
        <f>18</f>
        <v>18</v>
      </c>
    </row>
    <row r="279" spans="1:24" x14ac:dyDescent="0.15">
      <c r="A279" s="25" t="s">
        <v>903</v>
      </c>
      <c r="B279" s="25" t="s">
        <v>878</v>
      </c>
      <c r="C279" s="25" t="s">
        <v>879</v>
      </c>
      <c r="D279" s="25" t="s">
        <v>880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1412</f>
        <v>1412</v>
      </c>
      <c r="L279" s="32" t="s">
        <v>904</v>
      </c>
      <c r="M279" s="31">
        <f>1466</f>
        <v>1466</v>
      </c>
      <c r="N279" s="32" t="s">
        <v>905</v>
      </c>
      <c r="O279" s="31">
        <f>1384</f>
        <v>1384</v>
      </c>
      <c r="P279" s="32" t="s">
        <v>820</v>
      </c>
      <c r="Q279" s="31">
        <f>1430</f>
        <v>1430</v>
      </c>
      <c r="R279" s="32" t="s">
        <v>94</v>
      </c>
      <c r="S279" s="33">
        <f>1433.06</f>
        <v>1433.06</v>
      </c>
      <c r="T279" s="30">
        <f>59287</f>
        <v>59287</v>
      </c>
      <c r="U279" s="30" t="str">
        <f>"－"</f>
        <v>－</v>
      </c>
      <c r="V279" s="30">
        <f>85548479</f>
        <v>85548479</v>
      </c>
      <c r="W279" s="30" t="str">
        <f>"－"</f>
        <v>－</v>
      </c>
      <c r="X279" s="34">
        <f>18</f>
        <v>18</v>
      </c>
    </row>
    <row r="280" spans="1:24" x14ac:dyDescent="0.15">
      <c r="A280" s="25" t="s">
        <v>903</v>
      </c>
      <c r="B280" s="25" t="s">
        <v>881</v>
      </c>
      <c r="C280" s="25" t="s">
        <v>882</v>
      </c>
      <c r="D280" s="25" t="s">
        <v>883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4974</f>
        <v>4974</v>
      </c>
      <c r="L280" s="32" t="s">
        <v>909</v>
      </c>
      <c r="M280" s="31">
        <f>4976</f>
        <v>4976</v>
      </c>
      <c r="N280" s="32" t="s">
        <v>909</v>
      </c>
      <c r="O280" s="31">
        <f>4907</f>
        <v>4907</v>
      </c>
      <c r="P280" s="32" t="s">
        <v>819</v>
      </c>
      <c r="Q280" s="31">
        <f>4933</f>
        <v>4933</v>
      </c>
      <c r="R280" s="32" t="s">
        <v>908</v>
      </c>
      <c r="S280" s="33">
        <f>4935.17</f>
        <v>4935.17</v>
      </c>
      <c r="T280" s="30">
        <f>144020</f>
        <v>144020</v>
      </c>
      <c r="U280" s="30">
        <f>130970</f>
        <v>130970</v>
      </c>
      <c r="V280" s="30">
        <f>710525589</f>
        <v>710525589</v>
      </c>
      <c r="W280" s="30">
        <f>646115569</f>
        <v>646115569</v>
      </c>
      <c r="X280" s="34">
        <f>12</f>
        <v>12</v>
      </c>
    </row>
    <row r="281" spans="1:24" x14ac:dyDescent="0.15">
      <c r="A281" s="25" t="s">
        <v>903</v>
      </c>
      <c r="B281" s="25" t="s">
        <v>884</v>
      </c>
      <c r="C281" s="25" t="s">
        <v>885</v>
      </c>
      <c r="D281" s="25" t="s">
        <v>886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4923</f>
        <v>4923</v>
      </c>
      <c r="L281" s="32" t="s">
        <v>904</v>
      </c>
      <c r="M281" s="31">
        <f>4937</f>
        <v>4937</v>
      </c>
      <c r="N281" s="32" t="s">
        <v>907</v>
      </c>
      <c r="O281" s="31">
        <f>4814</f>
        <v>4814</v>
      </c>
      <c r="P281" s="32" t="s">
        <v>906</v>
      </c>
      <c r="Q281" s="31">
        <f>4870</f>
        <v>4870</v>
      </c>
      <c r="R281" s="32" t="s">
        <v>94</v>
      </c>
      <c r="S281" s="33">
        <f>4869.45</f>
        <v>4869.45</v>
      </c>
      <c r="T281" s="30">
        <f>172520</f>
        <v>172520</v>
      </c>
      <c r="U281" s="30">
        <f>114560</f>
        <v>114560</v>
      </c>
      <c r="V281" s="30">
        <f>838139997</f>
        <v>838139997</v>
      </c>
      <c r="W281" s="30">
        <f>557375747</f>
        <v>557375747</v>
      </c>
      <c r="X281" s="34">
        <f>11</f>
        <v>11</v>
      </c>
    </row>
    <row r="282" spans="1:24" x14ac:dyDescent="0.15">
      <c r="A282" s="25" t="s">
        <v>903</v>
      </c>
      <c r="B282" s="25" t="s">
        <v>887</v>
      </c>
      <c r="C282" s="25" t="s">
        <v>888</v>
      </c>
      <c r="D282" s="25" t="s">
        <v>889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10</v>
      </c>
      <c r="K282" s="31">
        <f>797.3</f>
        <v>797.3</v>
      </c>
      <c r="L282" s="32" t="s">
        <v>904</v>
      </c>
      <c r="M282" s="31">
        <f>799.4</f>
        <v>799.4</v>
      </c>
      <c r="N282" s="32" t="s">
        <v>909</v>
      </c>
      <c r="O282" s="31">
        <f>781.6</f>
        <v>781.6</v>
      </c>
      <c r="P282" s="32" t="s">
        <v>906</v>
      </c>
      <c r="Q282" s="31">
        <f>786.8</f>
        <v>786.8</v>
      </c>
      <c r="R282" s="32" t="s">
        <v>815</v>
      </c>
      <c r="S282" s="33">
        <f>790.47</f>
        <v>790.47</v>
      </c>
      <c r="T282" s="30">
        <f>71310</f>
        <v>71310</v>
      </c>
      <c r="U282" s="30" t="str">
        <f>"－"</f>
        <v>－</v>
      </c>
      <c r="V282" s="30">
        <f>56834949</f>
        <v>56834949</v>
      </c>
      <c r="W282" s="30" t="str">
        <f>"－"</f>
        <v>－</v>
      </c>
      <c r="X282" s="34">
        <f>17</f>
        <v>17</v>
      </c>
    </row>
    <row r="283" spans="1:24" x14ac:dyDescent="0.15">
      <c r="A283" s="25" t="s">
        <v>903</v>
      </c>
      <c r="B283" s="25" t="s">
        <v>891</v>
      </c>
      <c r="C283" s="25" t="s">
        <v>892</v>
      </c>
      <c r="D283" s="25" t="s">
        <v>893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2202</f>
        <v>2202</v>
      </c>
      <c r="L283" s="32" t="s">
        <v>904</v>
      </c>
      <c r="M283" s="31">
        <f>2236</f>
        <v>2236</v>
      </c>
      <c r="N283" s="32" t="s">
        <v>909</v>
      </c>
      <c r="O283" s="31">
        <f>2009</f>
        <v>2009</v>
      </c>
      <c r="P283" s="32" t="s">
        <v>820</v>
      </c>
      <c r="Q283" s="31">
        <f>2096</f>
        <v>2096</v>
      </c>
      <c r="R283" s="32" t="s">
        <v>94</v>
      </c>
      <c r="S283" s="33">
        <f>2131.5</f>
        <v>2131.5</v>
      </c>
      <c r="T283" s="30">
        <f>58038</f>
        <v>58038</v>
      </c>
      <c r="U283" s="30" t="str">
        <f>"－"</f>
        <v>－</v>
      </c>
      <c r="V283" s="30">
        <f>124129812</f>
        <v>124129812</v>
      </c>
      <c r="W283" s="30" t="str">
        <f>"－"</f>
        <v>－</v>
      </c>
      <c r="X283" s="34">
        <f>18</f>
        <v>18</v>
      </c>
    </row>
    <row r="284" spans="1:24" x14ac:dyDescent="0.15">
      <c r="A284" s="25" t="s">
        <v>903</v>
      </c>
      <c r="B284" s="25" t="s">
        <v>894</v>
      </c>
      <c r="C284" s="25" t="s">
        <v>895</v>
      </c>
      <c r="D284" s="25" t="s">
        <v>896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1848</f>
        <v>1848</v>
      </c>
      <c r="L284" s="32" t="s">
        <v>904</v>
      </c>
      <c r="M284" s="31">
        <f>1919</f>
        <v>1919</v>
      </c>
      <c r="N284" s="32" t="s">
        <v>906</v>
      </c>
      <c r="O284" s="31">
        <f>1769</f>
        <v>1769</v>
      </c>
      <c r="P284" s="32" t="s">
        <v>820</v>
      </c>
      <c r="Q284" s="31">
        <f>1821</f>
        <v>1821</v>
      </c>
      <c r="R284" s="32" t="s">
        <v>94</v>
      </c>
      <c r="S284" s="33">
        <f>1836.94</f>
        <v>1836.94</v>
      </c>
      <c r="T284" s="30">
        <f>8653</f>
        <v>8653</v>
      </c>
      <c r="U284" s="30" t="str">
        <f>"－"</f>
        <v>－</v>
      </c>
      <c r="V284" s="30">
        <f>16006032</f>
        <v>16006032</v>
      </c>
      <c r="W284" s="30" t="str">
        <f>"－"</f>
        <v>－</v>
      </c>
      <c r="X284" s="34">
        <f>18</f>
        <v>18</v>
      </c>
    </row>
    <row r="285" spans="1:24" x14ac:dyDescent="0.15">
      <c r="A285" s="25" t="s">
        <v>903</v>
      </c>
      <c r="B285" s="25" t="s">
        <v>897</v>
      </c>
      <c r="C285" s="25" t="s">
        <v>898</v>
      </c>
      <c r="D285" s="25" t="s">
        <v>899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7421</f>
        <v>7421</v>
      </c>
      <c r="L285" s="32" t="s">
        <v>904</v>
      </c>
      <c r="M285" s="31">
        <f>7421</f>
        <v>7421</v>
      </c>
      <c r="N285" s="32" t="s">
        <v>904</v>
      </c>
      <c r="O285" s="31">
        <f>7300</f>
        <v>7300</v>
      </c>
      <c r="P285" s="32" t="s">
        <v>819</v>
      </c>
      <c r="Q285" s="31">
        <f>7395</f>
        <v>7395</v>
      </c>
      <c r="R285" s="32" t="s">
        <v>94</v>
      </c>
      <c r="S285" s="33">
        <f>7358.76</f>
        <v>7358.76</v>
      </c>
      <c r="T285" s="30">
        <f>3700</f>
        <v>3700</v>
      </c>
      <c r="U285" s="30" t="str">
        <f>"－"</f>
        <v>－</v>
      </c>
      <c r="V285" s="30">
        <f>27187525</f>
        <v>27187525</v>
      </c>
      <c r="W285" s="30" t="str">
        <f>"－"</f>
        <v>－</v>
      </c>
      <c r="X285" s="34">
        <f>17</f>
        <v>17</v>
      </c>
    </row>
    <row r="286" spans="1:24" x14ac:dyDescent="0.15">
      <c r="A286" s="25" t="s">
        <v>903</v>
      </c>
      <c r="B286" s="25" t="s">
        <v>900</v>
      </c>
      <c r="C286" s="25" t="s">
        <v>901</v>
      </c>
      <c r="D286" s="25" t="s">
        <v>902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7309</f>
        <v>7309</v>
      </c>
      <c r="L286" s="32" t="s">
        <v>909</v>
      </c>
      <c r="M286" s="31">
        <f>7340</f>
        <v>7340</v>
      </c>
      <c r="N286" s="32" t="s">
        <v>907</v>
      </c>
      <c r="O286" s="31">
        <f>7165</f>
        <v>7165</v>
      </c>
      <c r="P286" s="32" t="s">
        <v>906</v>
      </c>
      <c r="Q286" s="31">
        <f>7243</f>
        <v>7243</v>
      </c>
      <c r="R286" s="32" t="s">
        <v>94</v>
      </c>
      <c r="S286" s="33">
        <f>7243.64</f>
        <v>7243.64</v>
      </c>
      <c r="T286" s="30">
        <f>6051</f>
        <v>6051</v>
      </c>
      <c r="U286" s="30" t="str">
        <f>"－"</f>
        <v>－</v>
      </c>
      <c r="V286" s="30">
        <f>43800897</f>
        <v>43800897</v>
      </c>
      <c r="W286" s="30" t="str">
        <f>"－"</f>
        <v>－</v>
      </c>
      <c r="X286" s="34">
        <f>11</f>
        <v>11</v>
      </c>
    </row>
    <row r="287" spans="1:24" x14ac:dyDescent="0.15">
      <c r="A287" s="25" t="s">
        <v>903</v>
      </c>
      <c r="B287" s="25" t="s">
        <v>916</v>
      </c>
      <c r="C287" s="25" t="s">
        <v>917</v>
      </c>
      <c r="D287" s="25" t="s">
        <v>918</v>
      </c>
      <c r="E287" s="26" t="s">
        <v>808</v>
      </c>
      <c r="F287" s="27" t="s">
        <v>809</v>
      </c>
      <c r="G287" s="28" t="s">
        <v>919</v>
      </c>
      <c r="H287" s="29"/>
      <c r="I287" s="29" t="s">
        <v>46</v>
      </c>
      <c r="J287" s="30">
        <v>1</v>
      </c>
      <c r="K287" s="31">
        <f>16355</f>
        <v>16355</v>
      </c>
      <c r="L287" s="32" t="s">
        <v>909</v>
      </c>
      <c r="M287" s="31">
        <f>16395</f>
        <v>16395</v>
      </c>
      <c r="N287" s="32" t="s">
        <v>909</v>
      </c>
      <c r="O287" s="31">
        <f>14160</f>
        <v>14160</v>
      </c>
      <c r="P287" s="32" t="s">
        <v>820</v>
      </c>
      <c r="Q287" s="31">
        <f>15070</f>
        <v>15070</v>
      </c>
      <c r="R287" s="32" t="s">
        <v>94</v>
      </c>
      <c r="S287" s="33">
        <f>15577.65</f>
        <v>15577.65</v>
      </c>
      <c r="T287" s="30">
        <f>185932</f>
        <v>185932</v>
      </c>
      <c r="U287" s="30">
        <f>137199</f>
        <v>137199</v>
      </c>
      <c r="V287" s="30">
        <f>2739268154</f>
        <v>2739268154</v>
      </c>
      <c r="W287" s="30">
        <f>1997301569</f>
        <v>1997301569</v>
      </c>
      <c r="X287" s="34">
        <f>17</f>
        <v>17</v>
      </c>
    </row>
    <row r="288" spans="1:24" x14ac:dyDescent="0.15">
      <c r="A288" s="25" t="s">
        <v>903</v>
      </c>
      <c r="B288" s="25" t="s">
        <v>920</v>
      </c>
      <c r="C288" s="25" t="s">
        <v>921</v>
      </c>
      <c r="D288" s="25" t="s">
        <v>922</v>
      </c>
      <c r="E288" s="26" t="s">
        <v>808</v>
      </c>
      <c r="F288" s="27" t="s">
        <v>809</v>
      </c>
      <c r="G288" s="28" t="s">
        <v>919</v>
      </c>
      <c r="H288" s="29"/>
      <c r="I288" s="29" t="s">
        <v>46</v>
      </c>
      <c r="J288" s="30">
        <v>1</v>
      </c>
      <c r="K288" s="31">
        <f>10755</f>
        <v>10755</v>
      </c>
      <c r="L288" s="32" t="s">
        <v>909</v>
      </c>
      <c r="M288" s="31">
        <f>10775</f>
        <v>10775</v>
      </c>
      <c r="N288" s="32" t="s">
        <v>909</v>
      </c>
      <c r="O288" s="31">
        <f>9326</f>
        <v>9326</v>
      </c>
      <c r="P288" s="32" t="s">
        <v>820</v>
      </c>
      <c r="Q288" s="31">
        <f>9845</f>
        <v>9845</v>
      </c>
      <c r="R288" s="32" t="s">
        <v>94</v>
      </c>
      <c r="S288" s="33">
        <f>10208.82</f>
        <v>10208.82</v>
      </c>
      <c r="T288" s="30">
        <f>79517</f>
        <v>79517</v>
      </c>
      <c r="U288" s="30" t="str">
        <f>"－"</f>
        <v>－</v>
      </c>
      <c r="V288" s="30">
        <f>802848189</f>
        <v>802848189</v>
      </c>
      <c r="W288" s="30" t="str">
        <f>"－"</f>
        <v>－</v>
      </c>
      <c r="X288" s="34">
        <f>17</f>
        <v>17</v>
      </c>
    </row>
    <row r="289" spans="1:24" x14ac:dyDescent="0.15">
      <c r="A289" s="25" t="s">
        <v>903</v>
      </c>
      <c r="B289" s="25" t="s">
        <v>923</v>
      </c>
      <c r="C289" s="25" t="s">
        <v>924</v>
      </c>
      <c r="D289" s="25" t="s">
        <v>925</v>
      </c>
      <c r="E289" s="26" t="s">
        <v>808</v>
      </c>
      <c r="F289" s="27" t="s">
        <v>809</v>
      </c>
      <c r="G289" s="28" t="s">
        <v>919</v>
      </c>
      <c r="H289" s="29"/>
      <c r="I289" s="29" t="s">
        <v>46</v>
      </c>
      <c r="J289" s="30">
        <v>1</v>
      </c>
      <c r="K289" s="31">
        <f>26430</f>
        <v>26430</v>
      </c>
      <c r="L289" s="32" t="s">
        <v>909</v>
      </c>
      <c r="M289" s="31">
        <f>30170</f>
        <v>30170</v>
      </c>
      <c r="N289" s="32" t="s">
        <v>820</v>
      </c>
      <c r="O289" s="31">
        <f>26335</f>
        <v>26335</v>
      </c>
      <c r="P289" s="32" t="s">
        <v>909</v>
      </c>
      <c r="Q289" s="31">
        <f>28585</f>
        <v>28585</v>
      </c>
      <c r="R289" s="32" t="s">
        <v>94</v>
      </c>
      <c r="S289" s="33">
        <f>27735.29</f>
        <v>27735.29</v>
      </c>
      <c r="T289" s="30">
        <f>112679</f>
        <v>112679</v>
      </c>
      <c r="U289" s="30" t="str">
        <f>"－"</f>
        <v>－</v>
      </c>
      <c r="V289" s="30">
        <f>3182909605</f>
        <v>3182909605</v>
      </c>
      <c r="W289" s="30" t="str">
        <f>"－"</f>
        <v>－</v>
      </c>
      <c r="X289" s="34">
        <f>17</f>
        <v>17</v>
      </c>
    </row>
    <row r="290" spans="1:24" x14ac:dyDescent="0.15">
      <c r="A290" s="25" t="s">
        <v>903</v>
      </c>
      <c r="B290" s="25" t="s">
        <v>926</v>
      </c>
      <c r="C290" s="25" t="s">
        <v>927</v>
      </c>
      <c r="D290" s="25" t="s">
        <v>928</v>
      </c>
      <c r="E290" s="26" t="s">
        <v>808</v>
      </c>
      <c r="F290" s="27" t="s">
        <v>809</v>
      </c>
      <c r="G290" s="28" t="s">
        <v>929</v>
      </c>
      <c r="H290" s="29"/>
      <c r="I290" s="29" t="s">
        <v>46</v>
      </c>
      <c r="J290" s="30">
        <v>10</v>
      </c>
      <c r="K290" s="31">
        <f>5025</f>
        <v>5025</v>
      </c>
      <c r="L290" s="32" t="s">
        <v>819</v>
      </c>
      <c r="M290" s="31">
        <f>5025</f>
        <v>5025</v>
      </c>
      <c r="N290" s="32" t="s">
        <v>819</v>
      </c>
      <c r="O290" s="31">
        <f>5000</f>
        <v>5000</v>
      </c>
      <c r="P290" s="32" t="s">
        <v>819</v>
      </c>
      <c r="Q290" s="31">
        <f>5005</f>
        <v>5005</v>
      </c>
      <c r="R290" s="32" t="s">
        <v>815</v>
      </c>
      <c r="S290" s="33">
        <f>5010.83</f>
        <v>5010.83</v>
      </c>
      <c r="T290" s="30">
        <f>99170</f>
        <v>99170</v>
      </c>
      <c r="U290" s="30">
        <f>99000</f>
        <v>99000</v>
      </c>
      <c r="V290" s="30">
        <f>498792160</f>
        <v>498792160</v>
      </c>
      <c r="W290" s="30">
        <f>497940300</f>
        <v>497940300</v>
      </c>
      <c r="X290" s="34">
        <f>6</f>
        <v>6</v>
      </c>
    </row>
    <row r="291" spans="1:24" x14ac:dyDescent="0.15">
      <c r="A291" s="25" t="s">
        <v>903</v>
      </c>
      <c r="B291" s="25" t="s">
        <v>930</v>
      </c>
      <c r="C291" s="25" t="s">
        <v>931</v>
      </c>
      <c r="D291" s="25" t="s">
        <v>932</v>
      </c>
      <c r="E291" s="26" t="s">
        <v>808</v>
      </c>
      <c r="F291" s="27" t="s">
        <v>809</v>
      </c>
      <c r="G291" s="28" t="s">
        <v>929</v>
      </c>
      <c r="H291" s="29"/>
      <c r="I291" s="29" t="s">
        <v>46</v>
      </c>
      <c r="J291" s="30">
        <v>10</v>
      </c>
      <c r="K291" s="31">
        <f>5029</f>
        <v>5029</v>
      </c>
      <c r="L291" s="32" t="s">
        <v>819</v>
      </c>
      <c r="M291" s="31">
        <f>5040</f>
        <v>5040</v>
      </c>
      <c r="N291" s="32" t="s">
        <v>814</v>
      </c>
      <c r="O291" s="31">
        <f>4981</f>
        <v>4981</v>
      </c>
      <c r="P291" s="32" t="s">
        <v>815</v>
      </c>
      <c r="Q291" s="31">
        <f>5038</f>
        <v>5038</v>
      </c>
      <c r="R291" s="32" t="s">
        <v>94</v>
      </c>
      <c r="S291" s="33">
        <f>5018.71</f>
        <v>5018.71</v>
      </c>
      <c r="T291" s="30">
        <f>99930</f>
        <v>99930</v>
      </c>
      <c r="U291" s="30">
        <f>99200</f>
        <v>99200</v>
      </c>
      <c r="V291" s="30">
        <f>500935860</f>
        <v>500935860</v>
      </c>
      <c r="W291" s="30">
        <f>497279680</f>
        <v>497279680</v>
      </c>
      <c r="X291" s="34">
        <f>7</f>
        <v>7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C20D-4B94-44B8-8E42-B01E6264AA17}">
  <sheetPr>
    <pageSetUpPr fitToPage="1"/>
  </sheetPr>
  <dimension ref="A1:X284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8.75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817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2124</f>
        <v>2124</v>
      </c>
      <c r="L7" s="32" t="s">
        <v>811</v>
      </c>
      <c r="M7" s="31">
        <f>2151.5</f>
        <v>2151.5</v>
      </c>
      <c r="N7" s="32" t="s">
        <v>810</v>
      </c>
      <c r="O7" s="31">
        <f>1932</f>
        <v>1932</v>
      </c>
      <c r="P7" s="32" t="s">
        <v>266</v>
      </c>
      <c r="Q7" s="31">
        <f>1998.5</f>
        <v>1998.5</v>
      </c>
      <c r="R7" s="32" t="s">
        <v>818</v>
      </c>
      <c r="S7" s="33">
        <f>2058.89</f>
        <v>2058.89</v>
      </c>
      <c r="T7" s="30">
        <f>6983730</f>
        <v>6983730</v>
      </c>
      <c r="U7" s="30">
        <f>1503850</f>
        <v>1503850</v>
      </c>
      <c r="V7" s="30">
        <f>14338092900</f>
        <v>14338092900</v>
      </c>
      <c r="W7" s="30">
        <f>3129667120</f>
        <v>3129667120</v>
      </c>
      <c r="X7" s="34">
        <f>19</f>
        <v>19</v>
      </c>
    </row>
    <row r="8" spans="1:24" x14ac:dyDescent="0.15">
      <c r="A8" s="25" t="s">
        <v>817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2100.5</f>
        <v>2100.5</v>
      </c>
      <c r="L8" s="32" t="s">
        <v>811</v>
      </c>
      <c r="M8" s="31">
        <f>2127</f>
        <v>2127</v>
      </c>
      <c r="N8" s="32" t="s">
        <v>810</v>
      </c>
      <c r="O8" s="31">
        <f>1911</f>
        <v>1911</v>
      </c>
      <c r="P8" s="32" t="s">
        <v>266</v>
      </c>
      <c r="Q8" s="31">
        <f>1973.5</f>
        <v>1973.5</v>
      </c>
      <c r="R8" s="32" t="s">
        <v>818</v>
      </c>
      <c r="S8" s="33">
        <f>2035.82</f>
        <v>2035.82</v>
      </c>
      <c r="T8" s="30">
        <f>53672000</f>
        <v>53672000</v>
      </c>
      <c r="U8" s="30">
        <f>5197720</f>
        <v>5197720</v>
      </c>
      <c r="V8" s="30">
        <f>108032678295</f>
        <v>108032678295</v>
      </c>
      <c r="W8" s="30">
        <f>10169123975</f>
        <v>10169123975</v>
      </c>
      <c r="X8" s="34">
        <f>19</f>
        <v>19</v>
      </c>
    </row>
    <row r="9" spans="1:24" x14ac:dyDescent="0.15">
      <c r="A9" s="25" t="s">
        <v>817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2078.5</f>
        <v>2078.5</v>
      </c>
      <c r="L9" s="32" t="s">
        <v>811</v>
      </c>
      <c r="M9" s="31">
        <f>2103</f>
        <v>2103</v>
      </c>
      <c r="N9" s="32" t="s">
        <v>810</v>
      </c>
      <c r="O9" s="31">
        <f>1890</f>
        <v>1890</v>
      </c>
      <c r="P9" s="32" t="s">
        <v>266</v>
      </c>
      <c r="Q9" s="31">
        <f>1952</f>
        <v>1952</v>
      </c>
      <c r="R9" s="32" t="s">
        <v>818</v>
      </c>
      <c r="S9" s="33">
        <f>2013.24</f>
        <v>2013.24</v>
      </c>
      <c r="T9" s="30">
        <f>5367700</f>
        <v>5367700</v>
      </c>
      <c r="U9" s="30">
        <f>18600</f>
        <v>18600</v>
      </c>
      <c r="V9" s="30">
        <f>10660067660</f>
        <v>10660067660</v>
      </c>
      <c r="W9" s="30">
        <f>37709810</f>
        <v>37709810</v>
      </c>
      <c r="X9" s="34">
        <f>19</f>
        <v>19</v>
      </c>
    </row>
    <row r="10" spans="1:24" x14ac:dyDescent="0.15">
      <c r="A10" s="25" t="s">
        <v>817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44330</f>
        <v>44330</v>
      </c>
      <c r="L10" s="32" t="s">
        <v>811</v>
      </c>
      <c r="M10" s="31">
        <f>44860</f>
        <v>44860</v>
      </c>
      <c r="N10" s="32" t="s">
        <v>80</v>
      </c>
      <c r="O10" s="31">
        <f>41760</f>
        <v>41760</v>
      </c>
      <c r="P10" s="32" t="s">
        <v>818</v>
      </c>
      <c r="Q10" s="31">
        <f>41830</f>
        <v>41830</v>
      </c>
      <c r="R10" s="32" t="s">
        <v>818</v>
      </c>
      <c r="S10" s="33">
        <f>43463.16</f>
        <v>43463.16</v>
      </c>
      <c r="T10" s="30">
        <f>3718</f>
        <v>3718</v>
      </c>
      <c r="U10" s="30" t="str">
        <f>"－"</f>
        <v>－</v>
      </c>
      <c r="V10" s="30">
        <f>161277420</f>
        <v>161277420</v>
      </c>
      <c r="W10" s="30" t="str">
        <f>"－"</f>
        <v>－</v>
      </c>
      <c r="X10" s="34">
        <f>19</f>
        <v>19</v>
      </c>
    </row>
    <row r="11" spans="1:24" x14ac:dyDescent="0.15">
      <c r="A11" s="25" t="s">
        <v>817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1030</f>
        <v>1030</v>
      </c>
      <c r="L11" s="32" t="s">
        <v>811</v>
      </c>
      <c r="M11" s="31">
        <f>1044</f>
        <v>1044</v>
      </c>
      <c r="N11" s="32" t="s">
        <v>810</v>
      </c>
      <c r="O11" s="31">
        <f>899</f>
        <v>899</v>
      </c>
      <c r="P11" s="32" t="s">
        <v>266</v>
      </c>
      <c r="Q11" s="31">
        <f>938</f>
        <v>938</v>
      </c>
      <c r="R11" s="32" t="s">
        <v>818</v>
      </c>
      <c r="S11" s="33">
        <f>982.86</f>
        <v>982.86</v>
      </c>
      <c r="T11" s="30">
        <f>512670</f>
        <v>512670</v>
      </c>
      <c r="U11" s="30">
        <f>100070</f>
        <v>100070</v>
      </c>
      <c r="V11" s="30">
        <f>499131476</f>
        <v>499131476</v>
      </c>
      <c r="W11" s="30">
        <f>95443116</f>
        <v>95443116</v>
      </c>
      <c r="X11" s="34">
        <f>19</f>
        <v>19</v>
      </c>
    </row>
    <row r="12" spans="1:24" x14ac:dyDescent="0.15">
      <c r="A12" s="25" t="s">
        <v>817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20515</f>
        <v>20515</v>
      </c>
      <c r="L12" s="32" t="s">
        <v>811</v>
      </c>
      <c r="M12" s="31">
        <f>21085</f>
        <v>21085</v>
      </c>
      <c r="N12" s="32" t="s">
        <v>70</v>
      </c>
      <c r="O12" s="31">
        <f>19000</f>
        <v>19000</v>
      </c>
      <c r="P12" s="32" t="s">
        <v>94</v>
      </c>
      <c r="Q12" s="31">
        <f>19660</f>
        <v>19660</v>
      </c>
      <c r="R12" s="32" t="s">
        <v>818</v>
      </c>
      <c r="S12" s="33">
        <f>20020.26</f>
        <v>20020.259999999998</v>
      </c>
      <c r="T12" s="30">
        <f>691</f>
        <v>691</v>
      </c>
      <c r="U12" s="30" t="str">
        <f>"－"</f>
        <v>－</v>
      </c>
      <c r="V12" s="30">
        <f>13767810</f>
        <v>13767810</v>
      </c>
      <c r="W12" s="30" t="str">
        <f>"－"</f>
        <v>－</v>
      </c>
      <c r="X12" s="34">
        <f>19</f>
        <v>19</v>
      </c>
    </row>
    <row r="13" spans="1:24" x14ac:dyDescent="0.15">
      <c r="A13" s="25" t="s">
        <v>817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3985</f>
        <v>3985</v>
      </c>
      <c r="L13" s="32" t="s">
        <v>811</v>
      </c>
      <c r="M13" s="31">
        <f>4048</f>
        <v>4048</v>
      </c>
      <c r="N13" s="32" t="s">
        <v>94</v>
      </c>
      <c r="O13" s="31">
        <f>3400</f>
        <v>3400</v>
      </c>
      <c r="P13" s="32" t="s">
        <v>266</v>
      </c>
      <c r="Q13" s="31">
        <f>3591</f>
        <v>3591</v>
      </c>
      <c r="R13" s="32" t="s">
        <v>818</v>
      </c>
      <c r="S13" s="33">
        <f>3737.21</f>
        <v>3737.21</v>
      </c>
      <c r="T13" s="30">
        <f>2020</f>
        <v>2020</v>
      </c>
      <c r="U13" s="30">
        <f>10</f>
        <v>10</v>
      </c>
      <c r="V13" s="30">
        <f>7522160</f>
        <v>7522160</v>
      </c>
      <c r="W13" s="30">
        <f>35900</f>
        <v>35900</v>
      </c>
      <c r="X13" s="34">
        <f>14</f>
        <v>14</v>
      </c>
    </row>
    <row r="14" spans="1:24" x14ac:dyDescent="0.15">
      <c r="A14" s="25" t="s">
        <v>817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373.6</f>
        <v>373.6</v>
      </c>
      <c r="L14" s="32" t="s">
        <v>810</v>
      </c>
      <c r="M14" s="31">
        <f>376.7</f>
        <v>376.7</v>
      </c>
      <c r="N14" s="32" t="s">
        <v>810</v>
      </c>
      <c r="O14" s="31">
        <f>334.1</f>
        <v>334.1</v>
      </c>
      <c r="P14" s="32" t="s">
        <v>815</v>
      </c>
      <c r="Q14" s="31">
        <f>352</f>
        <v>352</v>
      </c>
      <c r="R14" s="32" t="s">
        <v>818</v>
      </c>
      <c r="S14" s="33">
        <f>360.38</f>
        <v>360.38</v>
      </c>
      <c r="T14" s="30">
        <f>93000</f>
        <v>93000</v>
      </c>
      <c r="U14" s="30">
        <f>2000</f>
        <v>2000</v>
      </c>
      <c r="V14" s="30">
        <f>32886600</f>
        <v>32886600</v>
      </c>
      <c r="W14" s="30">
        <f>719100</f>
        <v>719100</v>
      </c>
      <c r="X14" s="34">
        <f>15</f>
        <v>15</v>
      </c>
    </row>
    <row r="15" spans="1:24" x14ac:dyDescent="0.15">
      <c r="A15" s="25" t="s">
        <v>817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29955</f>
        <v>29955</v>
      </c>
      <c r="L15" s="32" t="s">
        <v>811</v>
      </c>
      <c r="M15" s="31">
        <f>30280</f>
        <v>30280</v>
      </c>
      <c r="N15" s="32" t="s">
        <v>810</v>
      </c>
      <c r="O15" s="31">
        <f>26860</f>
        <v>26860</v>
      </c>
      <c r="P15" s="32" t="s">
        <v>266</v>
      </c>
      <c r="Q15" s="31">
        <f>27855</f>
        <v>27855</v>
      </c>
      <c r="R15" s="32" t="s">
        <v>818</v>
      </c>
      <c r="S15" s="33">
        <f>28761.58</f>
        <v>28761.58</v>
      </c>
      <c r="T15" s="30">
        <f>2394678</f>
        <v>2394678</v>
      </c>
      <c r="U15" s="30">
        <f>799188</f>
        <v>799188</v>
      </c>
      <c r="V15" s="30">
        <f>69424580943</f>
        <v>69424580943</v>
      </c>
      <c r="W15" s="30">
        <f>23588622588</f>
        <v>23588622588</v>
      </c>
      <c r="X15" s="34">
        <f>19</f>
        <v>19</v>
      </c>
    </row>
    <row r="16" spans="1:24" x14ac:dyDescent="0.15">
      <c r="A16" s="25" t="s">
        <v>817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30020</f>
        <v>30020</v>
      </c>
      <c r="L16" s="32" t="s">
        <v>811</v>
      </c>
      <c r="M16" s="31">
        <f>30370</f>
        <v>30370</v>
      </c>
      <c r="N16" s="32" t="s">
        <v>810</v>
      </c>
      <c r="O16" s="31">
        <f>26945</f>
        <v>26945</v>
      </c>
      <c r="P16" s="32" t="s">
        <v>266</v>
      </c>
      <c r="Q16" s="31">
        <f>27910</f>
        <v>27910</v>
      </c>
      <c r="R16" s="32" t="s">
        <v>818</v>
      </c>
      <c r="S16" s="33">
        <f>28824.21</f>
        <v>28824.21</v>
      </c>
      <c r="T16" s="30">
        <f>5712819</f>
        <v>5712819</v>
      </c>
      <c r="U16" s="30">
        <f>306685</f>
        <v>306685</v>
      </c>
      <c r="V16" s="30">
        <f>163528015240</f>
        <v>163528015240</v>
      </c>
      <c r="W16" s="30">
        <f>8654593405</f>
        <v>8654593405</v>
      </c>
      <c r="X16" s="34">
        <f>19</f>
        <v>19</v>
      </c>
    </row>
    <row r="17" spans="1:24" x14ac:dyDescent="0.15">
      <c r="A17" s="25" t="s">
        <v>817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8423</f>
        <v>8423</v>
      </c>
      <c r="L17" s="32" t="s">
        <v>811</v>
      </c>
      <c r="M17" s="31">
        <f>8559</f>
        <v>8559</v>
      </c>
      <c r="N17" s="32" t="s">
        <v>66</v>
      </c>
      <c r="O17" s="31">
        <f>8000</f>
        <v>8000</v>
      </c>
      <c r="P17" s="32" t="s">
        <v>818</v>
      </c>
      <c r="Q17" s="31">
        <f>8067</f>
        <v>8067</v>
      </c>
      <c r="R17" s="32" t="s">
        <v>818</v>
      </c>
      <c r="S17" s="33">
        <f>8260.79</f>
        <v>8260.7900000000009</v>
      </c>
      <c r="T17" s="30">
        <f>4810</f>
        <v>4810</v>
      </c>
      <c r="U17" s="30" t="str">
        <f>"－"</f>
        <v>－</v>
      </c>
      <c r="V17" s="30">
        <f>39955960</f>
        <v>39955960</v>
      </c>
      <c r="W17" s="30" t="str">
        <f>"－"</f>
        <v>－</v>
      </c>
      <c r="X17" s="34">
        <f>19</f>
        <v>19</v>
      </c>
    </row>
    <row r="18" spans="1:24" x14ac:dyDescent="0.15">
      <c r="A18" s="25" t="s">
        <v>817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>
        <f>474</f>
        <v>474</v>
      </c>
      <c r="L18" s="32" t="s">
        <v>811</v>
      </c>
      <c r="M18" s="31">
        <f>505.9</f>
        <v>505.9</v>
      </c>
      <c r="N18" s="32" t="s">
        <v>814</v>
      </c>
      <c r="O18" s="31">
        <f>471.3</f>
        <v>471.3</v>
      </c>
      <c r="P18" s="32" t="s">
        <v>80</v>
      </c>
      <c r="Q18" s="31">
        <f>485.9</f>
        <v>485.9</v>
      </c>
      <c r="R18" s="32" t="s">
        <v>818</v>
      </c>
      <c r="S18" s="33">
        <f>488.5</f>
        <v>488.5</v>
      </c>
      <c r="T18" s="30">
        <f>98000</f>
        <v>98000</v>
      </c>
      <c r="U18" s="30" t="str">
        <f>"－"</f>
        <v>－</v>
      </c>
      <c r="V18" s="30">
        <f>48067360</f>
        <v>48067360</v>
      </c>
      <c r="W18" s="30" t="str">
        <f>"－"</f>
        <v>－</v>
      </c>
      <c r="X18" s="34">
        <f>19</f>
        <v>19</v>
      </c>
    </row>
    <row r="19" spans="1:24" x14ac:dyDescent="0.15">
      <c r="A19" s="25" t="s">
        <v>817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163.5</f>
        <v>163.5</v>
      </c>
      <c r="L19" s="32" t="s">
        <v>811</v>
      </c>
      <c r="M19" s="31">
        <f>167</f>
        <v>167</v>
      </c>
      <c r="N19" s="32" t="s">
        <v>813</v>
      </c>
      <c r="O19" s="31">
        <f>139.5</f>
        <v>139.5</v>
      </c>
      <c r="P19" s="32" t="s">
        <v>815</v>
      </c>
      <c r="Q19" s="31">
        <f>146.8</f>
        <v>146.80000000000001</v>
      </c>
      <c r="R19" s="32" t="s">
        <v>818</v>
      </c>
      <c r="S19" s="33">
        <f>153.52</f>
        <v>153.52000000000001</v>
      </c>
      <c r="T19" s="30">
        <f>900400</f>
        <v>900400</v>
      </c>
      <c r="U19" s="30" t="str">
        <f>"－"</f>
        <v>－</v>
      </c>
      <c r="V19" s="30">
        <f>137883850</f>
        <v>137883850</v>
      </c>
      <c r="W19" s="30" t="str">
        <f>"－"</f>
        <v>－</v>
      </c>
      <c r="X19" s="34">
        <f>19</f>
        <v>19</v>
      </c>
    </row>
    <row r="20" spans="1:24" x14ac:dyDescent="0.15">
      <c r="A20" s="25" t="s">
        <v>817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162.5</f>
        <v>162.5</v>
      </c>
      <c r="L20" s="32" t="s">
        <v>811</v>
      </c>
      <c r="M20" s="31">
        <f>175.9</f>
        <v>175.9</v>
      </c>
      <c r="N20" s="32" t="s">
        <v>818</v>
      </c>
      <c r="O20" s="31">
        <f>160</f>
        <v>160</v>
      </c>
      <c r="P20" s="32" t="s">
        <v>80</v>
      </c>
      <c r="Q20" s="31">
        <f>175.9</f>
        <v>175.9</v>
      </c>
      <c r="R20" s="32" t="s">
        <v>818</v>
      </c>
      <c r="S20" s="33">
        <f>167.57</f>
        <v>167.57</v>
      </c>
      <c r="T20" s="30">
        <f>509400</f>
        <v>509400</v>
      </c>
      <c r="U20" s="30">
        <f>1700</f>
        <v>1700</v>
      </c>
      <c r="V20" s="30">
        <f>85684600</f>
        <v>85684600</v>
      </c>
      <c r="W20" s="30">
        <f>288230</f>
        <v>288230</v>
      </c>
      <c r="X20" s="34">
        <f>19</f>
        <v>19</v>
      </c>
    </row>
    <row r="21" spans="1:24" x14ac:dyDescent="0.15">
      <c r="A21" s="25" t="s">
        <v>817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19425</f>
        <v>19425</v>
      </c>
      <c r="L21" s="32" t="s">
        <v>811</v>
      </c>
      <c r="M21" s="31">
        <f>19695</f>
        <v>19695</v>
      </c>
      <c r="N21" s="32" t="s">
        <v>810</v>
      </c>
      <c r="O21" s="31">
        <f>19255</f>
        <v>19255</v>
      </c>
      <c r="P21" s="32" t="s">
        <v>818</v>
      </c>
      <c r="Q21" s="31">
        <f>19280</f>
        <v>19280</v>
      </c>
      <c r="R21" s="32" t="s">
        <v>818</v>
      </c>
      <c r="S21" s="33">
        <f>19501.84</f>
        <v>19501.84</v>
      </c>
      <c r="T21" s="30">
        <f>130166</f>
        <v>130166</v>
      </c>
      <c r="U21" s="30" t="str">
        <f>"－"</f>
        <v>－</v>
      </c>
      <c r="V21" s="30">
        <f>2540253900</f>
        <v>2540253900</v>
      </c>
      <c r="W21" s="30" t="str">
        <f>"－"</f>
        <v>－</v>
      </c>
      <c r="X21" s="34">
        <f>19</f>
        <v>19</v>
      </c>
    </row>
    <row r="22" spans="1:24" x14ac:dyDescent="0.15">
      <c r="A22" s="25" t="s">
        <v>817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5253</f>
        <v>5253</v>
      </c>
      <c r="L22" s="32" t="s">
        <v>811</v>
      </c>
      <c r="M22" s="31">
        <f>5326</f>
        <v>5326</v>
      </c>
      <c r="N22" s="32" t="s">
        <v>810</v>
      </c>
      <c r="O22" s="31">
        <f>5201</f>
        <v>5201</v>
      </c>
      <c r="P22" s="32" t="s">
        <v>818</v>
      </c>
      <c r="Q22" s="31">
        <f>5215</f>
        <v>5215</v>
      </c>
      <c r="R22" s="32" t="s">
        <v>818</v>
      </c>
      <c r="S22" s="33">
        <f>5271.79</f>
        <v>5271.79</v>
      </c>
      <c r="T22" s="30">
        <f>88850</f>
        <v>88850</v>
      </c>
      <c r="U22" s="30">
        <f>50</f>
        <v>50</v>
      </c>
      <c r="V22" s="30">
        <f>468376330</f>
        <v>468376330</v>
      </c>
      <c r="W22" s="30">
        <f>263190</f>
        <v>263190</v>
      </c>
      <c r="X22" s="34">
        <f>19</f>
        <v>19</v>
      </c>
    </row>
    <row r="23" spans="1:24" x14ac:dyDescent="0.15">
      <c r="A23" s="25" t="s">
        <v>817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30160</f>
        <v>30160</v>
      </c>
      <c r="L23" s="32" t="s">
        <v>811</v>
      </c>
      <c r="M23" s="31">
        <f>30480</f>
        <v>30480</v>
      </c>
      <c r="N23" s="32" t="s">
        <v>810</v>
      </c>
      <c r="O23" s="31">
        <f>27020</f>
        <v>27020</v>
      </c>
      <c r="P23" s="32" t="s">
        <v>266</v>
      </c>
      <c r="Q23" s="31">
        <f>28045</f>
        <v>28045</v>
      </c>
      <c r="R23" s="32" t="s">
        <v>818</v>
      </c>
      <c r="S23" s="33">
        <f>28958.95</f>
        <v>28958.95</v>
      </c>
      <c r="T23" s="30">
        <f>1003308</f>
        <v>1003308</v>
      </c>
      <c r="U23" s="30">
        <f>269437</f>
        <v>269437</v>
      </c>
      <c r="V23" s="30">
        <f>28580899967</f>
        <v>28580899967</v>
      </c>
      <c r="W23" s="30">
        <f>7642678327</f>
        <v>7642678327</v>
      </c>
      <c r="X23" s="34">
        <f>19</f>
        <v>19</v>
      </c>
    </row>
    <row r="24" spans="1:24" x14ac:dyDescent="0.15">
      <c r="A24" s="25" t="s">
        <v>817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30060</f>
        <v>30060</v>
      </c>
      <c r="L24" s="32" t="s">
        <v>811</v>
      </c>
      <c r="M24" s="31">
        <f>30380</f>
        <v>30380</v>
      </c>
      <c r="N24" s="32" t="s">
        <v>810</v>
      </c>
      <c r="O24" s="31">
        <f>26955</f>
        <v>26955</v>
      </c>
      <c r="P24" s="32" t="s">
        <v>266</v>
      </c>
      <c r="Q24" s="31">
        <f>27930</f>
        <v>27930</v>
      </c>
      <c r="R24" s="32" t="s">
        <v>818</v>
      </c>
      <c r="S24" s="33">
        <f>28852.63</f>
        <v>28852.63</v>
      </c>
      <c r="T24" s="30">
        <f>1170110</f>
        <v>1170110</v>
      </c>
      <c r="U24" s="30">
        <f>139920</f>
        <v>139920</v>
      </c>
      <c r="V24" s="30">
        <f>33621668035</f>
        <v>33621668035</v>
      </c>
      <c r="W24" s="30">
        <f>3959500835</f>
        <v>3959500835</v>
      </c>
      <c r="X24" s="34">
        <f>19</f>
        <v>19</v>
      </c>
    </row>
    <row r="25" spans="1:24" x14ac:dyDescent="0.15">
      <c r="A25" s="25" t="s">
        <v>817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2235</f>
        <v>2235</v>
      </c>
      <c r="L25" s="32" t="s">
        <v>811</v>
      </c>
      <c r="M25" s="31">
        <f>2287.5</f>
        <v>2287.5</v>
      </c>
      <c r="N25" s="32" t="s">
        <v>811</v>
      </c>
      <c r="O25" s="31">
        <f>1928.5</f>
        <v>1928.5</v>
      </c>
      <c r="P25" s="32" t="s">
        <v>66</v>
      </c>
      <c r="Q25" s="31">
        <f>2102</f>
        <v>2102</v>
      </c>
      <c r="R25" s="32" t="s">
        <v>818</v>
      </c>
      <c r="S25" s="33">
        <f>2111.84</f>
        <v>2111.84</v>
      </c>
      <c r="T25" s="30">
        <f>22588800</f>
        <v>22588800</v>
      </c>
      <c r="U25" s="30">
        <f>7454090</f>
        <v>7454090</v>
      </c>
      <c r="V25" s="30">
        <f>47674145248</f>
        <v>47674145248</v>
      </c>
      <c r="W25" s="30">
        <f>15643702428</f>
        <v>15643702428</v>
      </c>
      <c r="X25" s="34">
        <f>19</f>
        <v>19</v>
      </c>
    </row>
    <row r="26" spans="1:24" x14ac:dyDescent="0.15">
      <c r="A26" s="25" t="s">
        <v>817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2096.5</f>
        <v>2096.5</v>
      </c>
      <c r="L26" s="32" t="s">
        <v>811</v>
      </c>
      <c r="M26" s="31">
        <f>2116</f>
        <v>2116</v>
      </c>
      <c r="N26" s="32" t="s">
        <v>811</v>
      </c>
      <c r="O26" s="31">
        <f>1810.5</f>
        <v>1810.5</v>
      </c>
      <c r="P26" s="32" t="s">
        <v>66</v>
      </c>
      <c r="Q26" s="31">
        <f>1978</f>
        <v>1978</v>
      </c>
      <c r="R26" s="32" t="s">
        <v>818</v>
      </c>
      <c r="S26" s="33">
        <f>1987</f>
        <v>1987</v>
      </c>
      <c r="T26" s="30">
        <f>3608800</f>
        <v>3608800</v>
      </c>
      <c r="U26" s="30">
        <f>650700</f>
        <v>650700</v>
      </c>
      <c r="V26" s="30">
        <f>7008822759</f>
        <v>7008822759</v>
      </c>
      <c r="W26" s="30">
        <f>1234148709</f>
        <v>1234148709</v>
      </c>
      <c r="X26" s="34">
        <f>19</f>
        <v>19</v>
      </c>
    </row>
    <row r="27" spans="1:24" x14ac:dyDescent="0.15">
      <c r="A27" s="25" t="s">
        <v>817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30150</f>
        <v>30150</v>
      </c>
      <c r="L27" s="32" t="s">
        <v>811</v>
      </c>
      <c r="M27" s="31">
        <f>30500</f>
        <v>30500</v>
      </c>
      <c r="N27" s="32" t="s">
        <v>810</v>
      </c>
      <c r="O27" s="31">
        <f>26835</f>
        <v>26835</v>
      </c>
      <c r="P27" s="32" t="s">
        <v>266</v>
      </c>
      <c r="Q27" s="31">
        <f>27815</f>
        <v>27815</v>
      </c>
      <c r="R27" s="32" t="s">
        <v>818</v>
      </c>
      <c r="S27" s="33">
        <f>28810.79</f>
        <v>28810.79</v>
      </c>
      <c r="T27" s="30">
        <f>490687</f>
        <v>490687</v>
      </c>
      <c r="U27" s="30">
        <f>6251</f>
        <v>6251</v>
      </c>
      <c r="V27" s="30">
        <f>14029325725</f>
        <v>14029325725</v>
      </c>
      <c r="W27" s="30">
        <f>174835740</f>
        <v>174835740</v>
      </c>
      <c r="X27" s="34">
        <f>19</f>
        <v>19</v>
      </c>
    </row>
    <row r="28" spans="1:24" x14ac:dyDescent="0.15">
      <c r="A28" s="25" t="s">
        <v>817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2099</f>
        <v>2099</v>
      </c>
      <c r="L28" s="32" t="s">
        <v>811</v>
      </c>
      <c r="M28" s="31">
        <f>2127</f>
        <v>2127</v>
      </c>
      <c r="N28" s="32" t="s">
        <v>810</v>
      </c>
      <c r="O28" s="31">
        <f>1893</f>
        <v>1893</v>
      </c>
      <c r="P28" s="32" t="s">
        <v>266</v>
      </c>
      <c r="Q28" s="31">
        <f>1959</f>
        <v>1959</v>
      </c>
      <c r="R28" s="32" t="s">
        <v>818</v>
      </c>
      <c r="S28" s="33">
        <f>2024.82</f>
        <v>2024.82</v>
      </c>
      <c r="T28" s="30">
        <f>4728560</f>
        <v>4728560</v>
      </c>
      <c r="U28" s="30">
        <f>1841780</f>
        <v>1841780</v>
      </c>
      <c r="V28" s="30">
        <f>9581908420</f>
        <v>9581908420</v>
      </c>
      <c r="W28" s="30">
        <f>3750017390</f>
        <v>3750017390</v>
      </c>
      <c r="X28" s="34">
        <f>19</f>
        <v>19</v>
      </c>
    </row>
    <row r="29" spans="1:24" x14ac:dyDescent="0.15">
      <c r="A29" s="25" t="s">
        <v>817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13785</f>
        <v>13785</v>
      </c>
      <c r="L29" s="32" t="s">
        <v>811</v>
      </c>
      <c r="M29" s="31">
        <f>13940</f>
        <v>13940</v>
      </c>
      <c r="N29" s="32" t="s">
        <v>810</v>
      </c>
      <c r="O29" s="31">
        <f>13350</f>
        <v>13350</v>
      </c>
      <c r="P29" s="32" t="s">
        <v>266</v>
      </c>
      <c r="Q29" s="31">
        <f>13535</f>
        <v>13535</v>
      </c>
      <c r="R29" s="32" t="s">
        <v>818</v>
      </c>
      <c r="S29" s="33">
        <f>13641.94</f>
        <v>13641.94</v>
      </c>
      <c r="T29" s="30">
        <f>876</f>
        <v>876</v>
      </c>
      <c r="U29" s="30" t="str">
        <f>"－"</f>
        <v>－</v>
      </c>
      <c r="V29" s="30">
        <f>11910070</f>
        <v>11910070</v>
      </c>
      <c r="W29" s="30" t="str">
        <f>"－"</f>
        <v>－</v>
      </c>
      <c r="X29" s="34">
        <f>18</f>
        <v>18</v>
      </c>
    </row>
    <row r="30" spans="1:24" x14ac:dyDescent="0.15">
      <c r="A30" s="25" t="s">
        <v>817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996.7</f>
        <v>996.7</v>
      </c>
      <c r="L30" s="32" t="s">
        <v>811</v>
      </c>
      <c r="M30" s="31">
        <f>1190.5</f>
        <v>1190.5</v>
      </c>
      <c r="N30" s="32" t="s">
        <v>266</v>
      </c>
      <c r="O30" s="31">
        <f>970</f>
        <v>970</v>
      </c>
      <c r="P30" s="32" t="s">
        <v>810</v>
      </c>
      <c r="Q30" s="31">
        <f>1112</f>
        <v>1112</v>
      </c>
      <c r="R30" s="32" t="s">
        <v>818</v>
      </c>
      <c r="S30" s="33">
        <f>1056.71</f>
        <v>1056.71</v>
      </c>
      <c r="T30" s="30">
        <f>9557460</f>
        <v>9557460</v>
      </c>
      <c r="U30" s="30">
        <f>630</f>
        <v>630</v>
      </c>
      <c r="V30" s="30">
        <f>10164650293</f>
        <v>10164650293</v>
      </c>
      <c r="W30" s="30">
        <f>702285</f>
        <v>702285</v>
      </c>
      <c r="X30" s="34">
        <f>19</f>
        <v>19</v>
      </c>
    </row>
    <row r="31" spans="1:24" x14ac:dyDescent="0.15">
      <c r="A31" s="25" t="s">
        <v>817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379</f>
        <v>379</v>
      </c>
      <c r="L31" s="32" t="s">
        <v>811</v>
      </c>
      <c r="M31" s="31">
        <f>465</f>
        <v>465</v>
      </c>
      <c r="N31" s="32" t="s">
        <v>266</v>
      </c>
      <c r="O31" s="31">
        <f>369</f>
        <v>369</v>
      </c>
      <c r="P31" s="32" t="s">
        <v>810</v>
      </c>
      <c r="Q31" s="31">
        <f>431</f>
        <v>431</v>
      </c>
      <c r="R31" s="32" t="s">
        <v>818</v>
      </c>
      <c r="S31" s="33">
        <f>408.74</f>
        <v>408.74</v>
      </c>
      <c r="T31" s="30">
        <f>1559373223</f>
        <v>1559373223</v>
      </c>
      <c r="U31" s="30">
        <f>3100751</f>
        <v>3100751</v>
      </c>
      <c r="V31" s="30">
        <f>646763911188</f>
        <v>646763911188</v>
      </c>
      <c r="W31" s="30">
        <f>1317818300</f>
        <v>1317818300</v>
      </c>
      <c r="X31" s="34">
        <f>19</f>
        <v>19</v>
      </c>
    </row>
    <row r="32" spans="1:24" x14ac:dyDescent="0.15">
      <c r="A32" s="25" t="s">
        <v>817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29575</f>
        <v>29575</v>
      </c>
      <c r="L32" s="32" t="s">
        <v>811</v>
      </c>
      <c r="M32" s="31">
        <f>30280</f>
        <v>30280</v>
      </c>
      <c r="N32" s="32" t="s">
        <v>810</v>
      </c>
      <c r="O32" s="31">
        <f>23685</f>
        <v>23685</v>
      </c>
      <c r="P32" s="32" t="s">
        <v>266</v>
      </c>
      <c r="Q32" s="31">
        <f>25520</f>
        <v>25520</v>
      </c>
      <c r="R32" s="32" t="s">
        <v>818</v>
      </c>
      <c r="S32" s="33">
        <f>27287.37</f>
        <v>27287.37</v>
      </c>
      <c r="T32" s="30">
        <f>748070</f>
        <v>748070</v>
      </c>
      <c r="U32" s="30">
        <f>1</f>
        <v>1</v>
      </c>
      <c r="V32" s="30">
        <f>20054993760</f>
        <v>20054993760</v>
      </c>
      <c r="W32" s="30">
        <f>25520</f>
        <v>25520</v>
      </c>
      <c r="X32" s="34">
        <f>19</f>
        <v>19</v>
      </c>
    </row>
    <row r="33" spans="1:24" x14ac:dyDescent="0.15">
      <c r="A33" s="25" t="s">
        <v>817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925.7</f>
        <v>925.7</v>
      </c>
      <c r="L33" s="32" t="s">
        <v>811</v>
      </c>
      <c r="M33" s="31">
        <f>1135.5</f>
        <v>1135.5</v>
      </c>
      <c r="N33" s="32" t="s">
        <v>266</v>
      </c>
      <c r="O33" s="31">
        <f>903.2</f>
        <v>903.2</v>
      </c>
      <c r="P33" s="32" t="s">
        <v>810</v>
      </c>
      <c r="Q33" s="31">
        <f>1054.5</f>
        <v>1054.5</v>
      </c>
      <c r="R33" s="32" t="s">
        <v>818</v>
      </c>
      <c r="S33" s="33">
        <f>998.66</f>
        <v>998.66</v>
      </c>
      <c r="T33" s="30">
        <f>274494990</f>
        <v>274494990</v>
      </c>
      <c r="U33" s="30">
        <f>4000</f>
        <v>4000</v>
      </c>
      <c r="V33" s="30">
        <f>276278782849</f>
        <v>276278782849</v>
      </c>
      <c r="W33" s="30">
        <f>4020000</f>
        <v>4020000</v>
      </c>
      <c r="X33" s="34">
        <f>19</f>
        <v>19</v>
      </c>
    </row>
    <row r="34" spans="1:24" x14ac:dyDescent="0.15">
      <c r="A34" s="25" t="s">
        <v>817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18620</f>
        <v>18620</v>
      </c>
      <c r="L34" s="32" t="s">
        <v>811</v>
      </c>
      <c r="M34" s="31">
        <f>18975</f>
        <v>18975</v>
      </c>
      <c r="N34" s="32" t="s">
        <v>810</v>
      </c>
      <c r="O34" s="31">
        <f>17000</f>
        <v>17000</v>
      </c>
      <c r="P34" s="32" t="s">
        <v>266</v>
      </c>
      <c r="Q34" s="31">
        <f>17570</f>
        <v>17570</v>
      </c>
      <c r="R34" s="32" t="s">
        <v>818</v>
      </c>
      <c r="S34" s="33">
        <f>18112.89</f>
        <v>18112.89</v>
      </c>
      <c r="T34" s="30">
        <f>5782</f>
        <v>5782</v>
      </c>
      <c r="U34" s="30" t="str">
        <f>"－"</f>
        <v>－</v>
      </c>
      <c r="V34" s="30">
        <f>104203675</f>
        <v>104203675</v>
      </c>
      <c r="W34" s="30" t="str">
        <f>"－"</f>
        <v>－</v>
      </c>
      <c r="X34" s="34">
        <f>19</f>
        <v>19</v>
      </c>
    </row>
    <row r="35" spans="1:24" x14ac:dyDescent="0.15">
      <c r="A35" s="25" t="s">
        <v>817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24650</f>
        <v>24650</v>
      </c>
      <c r="L35" s="32" t="s">
        <v>811</v>
      </c>
      <c r="M35" s="31">
        <f>25190</f>
        <v>25190</v>
      </c>
      <c r="N35" s="32" t="s">
        <v>810</v>
      </c>
      <c r="O35" s="31">
        <f>19680</f>
        <v>19680</v>
      </c>
      <c r="P35" s="32" t="s">
        <v>266</v>
      </c>
      <c r="Q35" s="31">
        <f>21165</f>
        <v>21165</v>
      </c>
      <c r="R35" s="32" t="s">
        <v>818</v>
      </c>
      <c r="S35" s="33">
        <f>22663.42</f>
        <v>22663.42</v>
      </c>
      <c r="T35" s="30">
        <f>1427422</f>
        <v>1427422</v>
      </c>
      <c r="U35" s="30" t="str">
        <f>"－"</f>
        <v>－</v>
      </c>
      <c r="V35" s="30">
        <f>31807664415</f>
        <v>31807664415</v>
      </c>
      <c r="W35" s="30" t="str">
        <f>"－"</f>
        <v>－</v>
      </c>
      <c r="X35" s="34">
        <f>19</f>
        <v>19</v>
      </c>
    </row>
    <row r="36" spans="1:24" x14ac:dyDescent="0.15">
      <c r="A36" s="25" t="s">
        <v>817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989</f>
        <v>989</v>
      </c>
      <c r="L36" s="32" t="s">
        <v>811</v>
      </c>
      <c r="M36" s="31">
        <f>1215</f>
        <v>1215</v>
      </c>
      <c r="N36" s="32" t="s">
        <v>266</v>
      </c>
      <c r="O36" s="31">
        <f>966</f>
        <v>966</v>
      </c>
      <c r="P36" s="32" t="s">
        <v>810</v>
      </c>
      <c r="Q36" s="31">
        <f>1128</f>
        <v>1128</v>
      </c>
      <c r="R36" s="32" t="s">
        <v>818</v>
      </c>
      <c r="S36" s="33">
        <f>1068.11</f>
        <v>1068.1099999999999</v>
      </c>
      <c r="T36" s="30">
        <f>26314154</f>
        <v>26314154</v>
      </c>
      <c r="U36" s="30">
        <f>90324</f>
        <v>90324</v>
      </c>
      <c r="V36" s="30">
        <f>28462272000</f>
        <v>28462272000</v>
      </c>
      <c r="W36" s="30">
        <f>103167089</f>
        <v>103167089</v>
      </c>
      <c r="X36" s="34">
        <f>19</f>
        <v>19</v>
      </c>
    </row>
    <row r="37" spans="1:24" x14ac:dyDescent="0.15">
      <c r="A37" s="25" t="s">
        <v>817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19945</f>
        <v>19945</v>
      </c>
      <c r="L37" s="32" t="s">
        <v>811</v>
      </c>
      <c r="M37" s="31">
        <f>20515</f>
        <v>20515</v>
      </c>
      <c r="N37" s="32" t="s">
        <v>810</v>
      </c>
      <c r="O37" s="31">
        <f>16480</f>
        <v>16480</v>
      </c>
      <c r="P37" s="32" t="s">
        <v>266</v>
      </c>
      <c r="Q37" s="31">
        <f>17580</f>
        <v>17580</v>
      </c>
      <c r="R37" s="32" t="s">
        <v>818</v>
      </c>
      <c r="S37" s="33">
        <f>18777.37</f>
        <v>18777.37</v>
      </c>
      <c r="T37" s="30">
        <f>192623</f>
        <v>192623</v>
      </c>
      <c r="U37" s="30">
        <f>20</f>
        <v>20</v>
      </c>
      <c r="V37" s="30">
        <f>3551716675</f>
        <v>3551716675</v>
      </c>
      <c r="W37" s="30">
        <f>309600</f>
        <v>309600</v>
      </c>
      <c r="X37" s="34">
        <f>19</f>
        <v>19</v>
      </c>
    </row>
    <row r="38" spans="1:24" x14ac:dyDescent="0.15">
      <c r="A38" s="25" t="s">
        <v>817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1448</f>
        <v>1448</v>
      </c>
      <c r="L38" s="32" t="s">
        <v>811</v>
      </c>
      <c r="M38" s="31">
        <f>1726</f>
        <v>1726</v>
      </c>
      <c r="N38" s="32" t="s">
        <v>266</v>
      </c>
      <c r="O38" s="31">
        <f>1407</f>
        <v>1407</v>
      </c>
      <c r="P38" s="32" t="s">
        <v>810</v>
      </c>
      <c r="Q38" s="31">
        <f>1615</f>
        <v>1615</v>
      </c>
      <c r="R38" s="32" t="s">
        <v>818</v>
      </c>
      <c r="S38" s="33">
        <f>1532.84</f>
        <v>1532.84</v>
      </c>
      <c r="T38" s="30">
        <f>1175740</f>
        <v>1175740</v>
      </c>
      <c r="U38" s="30" t="str">
        <f>"－"</f>
        <v>－</v>
      </c>
      <c r="V38" s="30">
        <f>1821191881</f>
        <v>1821191881</v>
      </c>
      <c r="W38" s="30" t="str">
        <f>"－"</f>
        <v>－</v>
      </c>
      <c r="X38" s="34">
        <f>19</f>
        <v>19</v>
      </c>
    </row>
    <row r="39" spans="1:24" x14ac:dyDescent="0.15">
      <c r="A39" s="25" t="s">
        <v>817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29235</f>
        <v>29235</v>
      </c>
      <c r="L39" s="32" t="s">
        <v>811</v>
      </c>
      <c r="M39" s="31">
        <f>29515</f>
        <v>29515</v>
      </c>
      <c r="N39" s="32" t="s">
        <v>810</v>
      </c>
      <c r="O39" s="31">
        <f>26050</f>
        <v>26050</v>
      </c>
      <c r="P39" s="32" t="s">
        <v>266</v>
      </c>
      <c r="Q39" s="31">
        <f>26995</f>
        <v>26995</v>
      </c>
      <c r="R39" s="32" t="s">
        <v>818</v>
      </c>
      <c r="S39" s="33">
        <f>27904.21</f>
        <v>27904.21</v>
      </c>
      <c r="T39" s="30">
        <f>1391486</f>
        <v>1391486</v>
      </c>
      <c r="U39" s="30">
        <f>1131000</f>
        <v>1131000</v>
      </c>
      <c r="V39" s="30">
        <f>39523117825</f>
        <v>39523117825</v>
      </c>
      <c r="W39" s="30">
        <f>32256834300</f>
        <v>32256834300</v>
      </c>
      <c r="X39" s="34">
        <f>19</f>
        <v>19</v>
      </c>
    </row>
    <row r="40" spans="1:24" x14ac:dyDescent="0.15">
      <c r="A40" s="25" t="s">
        <v>817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5689</f>
        <v>5689</v>
      </c>
      <c r="L40" s="32" t="s">
        <v>811</v>
      </c>
      <c r="M40" s="31">
        <f>5834</f>
        <v>5834</v>
      </c>
      <c r="N40" s="32" t="s">
        <v>810</v>
      </c>
      <c r="O40" s="31">
        <f>5299</f>
        <v>5299</v>
      </c>
      <c r="P40" s="32" t="s">
        <v>815</v>
      </c>
      <c r="Q40" s="31">
        <f>5448</f>
        <v>5448</v>
      </c>
      <c r="R40" s="32" t="s">
        <v>818</v>
      </c>
      <c r="S40" s="33">
        <f>5603.63</f>
        <v>5603.63</v>
      </c>
      <c r="T40" s="30">
        <f>4526</f>
        <v>4526</v>
      </c>
      <c r="U40" s="30">
        <f>870</f>
        <v>870</v>
      </c>
      <c r="V40" s="30">
        <f>25556357</f>
        <v>25556357</v>
      </c>
      <c r="W40" s="30">
        <f>4971528</f>
        <v>4971528</v>
      </c>
      <c r="X40" s="34">
        <f>19</f>
        <v>19</v>
      </c>
    </row>
    <row r="41" spans="1:24" x14ac:dyDescent="0.15">
      <c r="A41" s="25" t="s">
        <v>817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10400</f>
        <v>10400</v>
      </c>
      <c r="L41" s="32" t="s">
        <v>811</v>
      </c>
      <c r="M41" s="31">
        <f>10545</f>
        <v>10545</v>
      </c>
      <c r="N41" s="32" t="s">
        <v>810</v>
      </c>
      <c r="O41" s="31">
        <f>9694</f>
        <v>9694</v>
      </c>
      <c r="P41" s="32" t="s">
        <v>94</v>
      </c>
      <c r="Q41" s="31">
        <f>9838</f>
        <v>9838</v>
      </c>
      <c r="R41" s="32" t="s">
        <v>818</v>
      </c>
      <c r="S41" s="33">
        <f>10162.47</f>
        <v>10162.469999999999</v>
      </c>
      <c r="T41" s="30">
        <f>1399</f>
        <v>1399</v>
      </c>
      <c r="U41" s="30" t="str">
        <f t="shared" ref="U41:U50" si="0">"－"</f>
        <v>－</v>
      </c>
      <c r="V41" s="30">
        <f>14204078</f>
        <v>14204078</v>
      </c>
      <c r="W41" s="30" t="str">
        <f t="shared" ref="W41:W50" si="1">"－"</f>
        <v>－</v>
      </c>
      <c r="X41" s="34">
        <f>19</f>
        <v>19</v>
      </c>
    </row>
    <row r="42" spans="1:24" x14ac:dyDescent="0.15">
      <c r="A42" s="25" t="s">
        <v>817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20215</f>
        <v>20215</v>
      </c>
      <c r="L42" s="32" t="s">
        <v>811</v>
      </c>
      <c r="M42" s="31">
        <f>20420</f>
        <v>20420</v>
      </c>
      <c r="N42" s="32" t="s">
        <v>80</v>
      </c>
      <c r="O42" s="31">
        <f>18605</f>
        <v>18605</v>
      </c>
      <c r="P42" s="32" t="s">
        <v>266</v>
      </c>
      <c r="Q42" s="31">
        <f>19095</f>
        <v>19095</v>
      </c>
      <c r="R42" s="32" t="s">
        <v>818</v>
      </c>
      <c r="S42" s="33">
        <f>19585.36</f>
        <v>19585.36</v>
      </c>
      <c r="T42" s="30">
        <f>237</f>
        <v>237</v>
      </c>
      <c r="U42" s="30" t="str">
        <f t="shared" si="0"/>
        <v>－</v>
      </c>
      <c r="V42" s="30">
        <f>4642945</f>
        <v>4642945</v>
      </c>
      <c r="W42" s="30" t="str">
        <f t="shared" si="1"/>
        <v>－</v>
      </c>
      <c r="X42" s="34">
        <f>14</f>
        <v>14</v>
      </c>
    </row>
    <row r="43" spans="1:24" x14ac:dyDescent="0.15">
      <c r="A43" s="25" t="s">
        <v>817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17390</f>
        <v>17390</v>
      </c>
      <c r="L43" s="32" t="s">
        <v>811</v>
      </c>
      <c r="M43" s="31">
        <f>17805</f>
        <v>17805</v>
      </c>
      <c r="N43" s="32" t="s">
        <v>810</v>
      </c>
      <c r="O43" s="31">
        <f>15995</f>
        <v>15995</v>
      </c>
      <c r="P43" s="32" t="s">
        <v>266</v>
      </c>
      <c r="Q43" s="31">
        <f>16450</f>
        <v>16450</v>
      </c>
      <c r="R43" s="32" t="s">
        <v>818</v>
      </c>
      <c r="S43" s="33">
        <f>16975.83</f>
        <v>16975.830000000002</v>
      </c>
      <c r="T43" s="30">
        <f>44</f>
        <v>44</v>
      </c>
      <c r="U43" s="30" t="str">
        <f t="shared" si="0"/>
        <v>－</v>
      </c>
      <c r="V43" s="30">
        <f>746240</f>
        <v>746240</v>
      </c>
      <c r="W43" s="30" t="str">
        <f t="shared" si="1"/>
        <v>－</v>
      </c>
      <c r="X43" s="34">
        <f>12</f>
        <v>12</v>
      </c>
    </row>
    <row r="44" spans="1:24" x14ac:dyDescent="0.15">
      <c r="A44" s="25" t="s">
        <v>817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10670</f>
        <v>10670</v>
      </c>
      <c r="L44" s="32" t="s">
        <v>811</v>
      </c>
      <c r="M44" s="31">
        <f>11100</f>
        <v>11100</v>
      </c>
      <c r="N44" s="32" t="s">
        <v>814</v>
      </c>
      <c r="O44" s="31">
        <f>10500</f>
        <v>10500</v>
      </c>
      <c r="P44" s="32" t="s">
        <v>815</v>
      </c>
      <c r="Q44" s="31">
        <f>10670</f>
        <v>10670</v>
      </c>
      <c r="R44" s="32" t="s">
        <v>818</v>
      </c>
      <c r="S44" s="33">
        <f>10818.61</f>
        <v>10818.61</v>
      </c>
      <c r="T44" s="30">
        <f>2684</f>
        <v>2684</v>
      </c>
      <c r="U44" s="30" t="str">
        <f t="shared" si="0"/>
        <v>－</v>
      </c>
      <c r="V44" s="30">
        <f>28828375</f>
        <v>28828375</v>
      </c>
      <c r="W44" s="30" t="str">
        <f t="shared" si="1"/>
        <v>－</v>
      </c>
      <c r="X44" s="34">
        <f>18</f>
        <v>18</v>
      </c>
    </row>
    <row r="45" spans="1:24" x14ac:dyDescent="0.15">
      <c r="A45" s="25" t="s">
        <v>817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5428</f>
        <v>5428</v>
      </c>
      <c r="L45" s="32" t="s">
        <v>811</v>
      </c>
      <c r="M45" s="31">
        <f>5499</f>
        <v>5499</v>
      </c>
      <c r="N45" s="32" t="s">
        <v>810</v>
      </c>
      <c r="O45" s="31">
        <f>4960</f>
        <v>4960</v>
      </c>
      <c r="P45" s="32" t="s">
        <v>266</v>
      </c>
      <c r="Q45" s="31">
        <f>5040</f>
        <v>5040</v>
      </c>
      <c r="R45" s="32" t="s">
        <v>818</v>
      </c>
      <c r="S45" s="33">
        <f>5296.84</f>
        <v>5296.84</v>
      </c>
      <c r="T45" s="30">
        <f>1872</f>
        <v>1872</v>
      </c>
      <c r="U45" s="30" t="str">
        <f t="shared" si="0"/>
        <v>－</v>
      </c>
      <c r="V45" s="30">
        <f>9851357</f>
        <v>9851357</v>
      </c>
      <c r="W45" s="30" t="str">
        <f t="shared" si="1"/>
        <v>－</v>
      </c>
      <c r="X45" s="34">
        <f>19</f>
        <v>19</v>
      </c>
    </row>
    <row r="46" spans="1:24" x14ac:dyDescent="0.15">
      <c r="A46" s="25" t="s">
        <v>817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3140</f>
        <v>3140</v>
      </c>
      <c r="L46" s="32" t="s">
        <v>811</v>
      </c>
      <c r="M46" s="31">
        <f>3190</f>
        <v>3190</v>
      </c>
      <c r="N46" s="32" t="s">
        <v>810</v>
      </c>
      <c r="O46" s="31">
        <f>2850</f>
        <v>2850</v>
      </c>
      <c r="P46" s="32" t="s">
        <v>266</v>
      </c>
      <c r="Q46" s="31">
        <f>2964</f>
        <v>2964</v>
      </c>
      <c r="R46" s="32" t="s">
        <v>818</v>
      </c>
      <c r="S46" s="33">
        <f>3014.16</f>
        <v>3014.16</v>
      </c>
      <c r="T46" s="30">
        <f>10336</f>
        <v>10336</v>
      </c>
      <c r="U46" s="30" t="str">
        <f t="shared" si="0"/>
        <v>－</v>
      </c>
      <c r="V46" s="30">
        <f>31331483</f>
        <v>31331483</v>
      </c>
      <c r="W46" s="30" t="str">
        <f t="shared" si="1"/>
        <v>－</v>
      </c>
      <c r="X46" s="34">
        <f>19</f>
        <v>19</v>
      </c>
    </row>
    <row r="47" spans="1:24" x14ac:dyDescent="0.15">
      <c r="A47" s="25" t="s">
        <v>817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2843</f>
        <v>2843</v>
      </c>
      <c r="L47" s="32" t="s">
        <v>811</v>
      </c>
      <c r="M47" s="31">
        <f>3000</f>
        <v>3000</v>
      </c>
      <c r="N47" s="32" t="s">
        <v>814</v>
      </c>
      <c r="O47" s="31">
        <f>2802</f>
        <v>2802</v>
      </c>
      <c r="P47" s="32" t="s">
        <v>815</v>
      </c>
      <c r="Q47" s="31">
        <f>2875</f>
        <v>2875</v>
      </c>
      <c r="R47" s="32" t="s">
        <v>818</v>
      </c>
      <c r="S47" s="33">
        <f>2926.58</f>
        <v>2926.58</v>
      </c>
      <c r="T47" s="30">
        <f>3802</f>
        <v>3802</v>
      </c>
      <c r="U47" s="30" t="str">
        <f t="shared" si="0"/>
        <v>－</v>
      </c>
      <c r="V47" s="30">
        <f>11077265</f>
        <v>11077265</v>
      </c>
      <c r="W47" s="30" t="str">
        <f t="shared" si="1"/>
        <v>－</v>
      </c>
      <c r="X47" s="34">
        <f>19</f>
        <v>19</v>
      </c>
    </row>
    <row r="48" spans="1:24" x14ac:dyDescent="0.15">
      <c r="A48" s="25" t="s">
        <v>817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54930</f>
        <v>54930</v>
      </c>
      <c r="L48" s="32" t="s">
        <v>811</v>
      </c>
      <c r="M48" s="31">
        <f>55670</f>
        <v>55670</v>
      </c>
      <c r="N48" s="32" t="s">
        <v>810</v>
      </c>
      <c r="O48" s="31">
        <f>48300</f>
        <v>48300</v>
      </c>
      <c r="P48" s="32" t="s">
        <v>266</v>
      </c>
      <c r="Q48" s="31">
        <f>50590</f>
        <v>50590</v>
      </c>
      <c r="R48" s="32" t="s">
        <v>818</v>
      </c>
      <c r="S48" s="33">
        <f>51814.74</f>
        <v>51814.74</v>
      </c>
      <c r="T48" s="30">
        <f>2467</f>
        <v>2467</v>
      </c>
      <c r="U48" s="30" t="str">
        <f t="shared" si="0"/>
        <v>－</v>
      </c>
      <c r="V48" s="30">
        <f>127973960</f>
        <v>127973960</v>
      </c>
      <c r="W48" s="30" t="str">
        <f t="shared" si="1"/>
        <v>－</v>
      </c>
      <c r="X48" s="34">
        <f>19</f>
        <v>19</v>
      </c>
    </row>
    <row r="49" spans="1:24" x14ac:dyDescent="0.15">
      <c r="A49" s="25" t="s">
        <v>817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38330</f>
        <v>38330</v>
      </c>
      <c r="L49" s="32" t="s">
        <v>811</v>
      </c>
      <c r="M49" s="31">
        <f>38710</f>
        <v>38710</v>
      </c>
      <c r="N49" s="32" t="s">
        <v>810</v>
      </c>
      <c r="O49" s="31">
        <f>33980</f>
        <v>33980</v>
      </c>
      <c r="P49" s="32" t="s">
        <v>266</v>
      </c>
      <c r="Q49" s="31">
        <f>35620</f>
        <v>35620</v>
      </c>
      <c r="R49" s="32" t="s">
        <v>818</v>
      </c>
      <c r="S49" s="33">
        <f>36550</f>
        <v>36550</v>
      </c>
      <c r="T49" s="30">
        <f>509</f>
        <v>509</v>
      </c>
      <c r="U49" s="30" t="str">
        <f t="shared" si="0"/>
        <v>－</v>
      </c>
      <c r="V49" s="30">
        <f>18572980</f>
        <v>18572980</v>
      </c>
      <c r="W49" s="30" t="str">
        <f t="shared" si="1"/>
        <v>－</v>
      </c>
      <c r="X49" s="34">
        <f>17</f>
        <v>17</v>
      </c>
    </row>
    <row r="50" spans="1:24" x14ac:dyDescent="0.15">
      <c r="A50" s="25" t="s">
        <v>817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29275</f>
        <v>29275</v>
      </c>
      <c r="L50" s="32" t="s">
        <v>811</v>
      </c>
      <c r="M50" s="31">
        <f>29600</f>
        <v>29600</v>
      </c>
      <c r="N50" s="32" t="s">
        <v>810</v>
      </c>
      <c r="O50" s="31">
        <f>26370</f>
        <v>26370</v>
      </c>
      <c r="P50" s="32" t="s">
        <v>266</v>
      </c>
      <c r="Q50" s="31">
        <f>27275</f>
        <v>27275</v>
      </c>
      <c r="R50" s="32" t="s">
        <v>818</v>
      </c>
      <c r="S50" s="33">
        <f>28138.16</f>
        <v>28138.16</v>
      </c>
      <c r="T50" s="30">
        <f>11443</f>
        <v>11443</v>
      </c>
      <c r="U50" s="30" t="str">
        <f t="shared" si="0"/>
        <v>－</v>
      </c>
      <c r="V50" s="30">
        <f>322741485</f>
        <v>322741485</v>
      </c>
      <c r="W50" s="30" t="str">
        <f t="shared" si="1"/>
        <v>－</v>
      </c>
      <c r="X50" s="34">
        <f>19</f>
        <v>19</v>
      </c>
    </row>
    <row r="51" spans="1:24" x14ac:dyDescent="0.15">
      <c r="A51" s="25" t="s">
        <v>817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2130</f>
        <v>2130</v>
      </c>
      <c r="L51" s="32" t="s">
        <v>811</v>
      </c>
      <c r="M51" s="31">
        <f>2132</f>
        <v>2132</v>
      </c>
      <c r="N51" s="32" t="s">
        <v>810</v>
      </c>
      <c r="O51" s="31">
        <f>1838</f>
        <v>1838</v>
      </c>
      <c r="P51" s="32" t="s">
        <v>66</v>
      </c>
      <c r="Q51" s="31">
        <f>2005.5</f>
        <v>2005.5</v>
      </c>
      <c r="R51" s="32" t="s">
        <v>818</v>
      </c>
      <c r="S51" s="33">
        <f>2007.87</f>
        <v>2007.87</v>
      </c>
      <c r="T51" s="30">
        <f>847230</f>
        <v>847230</v>
      </c>
      <c r="U51" s="30">
        <f>24920</f>
        <v>24920</v>
      </c>
      <c r="V51" s="30">
        <f>1659776085</f>
        <v>1659776085</v>
      </c>
      <c r="W51" s="30">
        <f>52507440</f>
        <v>52507440</v>
      </c>
      <c r="X51" s="34">
        <f>19</f>
        <v>19</v>
      </c>
    </row>
    <row r="52" spans="1:24" x14ac:dyDescent="0.15">
      <c r="A52" s="25" t="s">
        <v>817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1552</f>
        <v>1552</v>
      </c>
      <c r="L52" s="32" t="s">
        <v>811</v>
      </c>
      <c r="M52" s="31">
        <f>1583.5</f>
        <v>1583.5</v>
      </c>
      <c r="N52" s="32" t="s">
        <v>819</v>
      </c>
      <c r="O52" s="31">
        <f>1509.5</f>
        <v>1509.5</v>
      </c>
      <c r="P52" s="32" t="s">
        <v>266</v>
      </c>
      <c r="Q52" s="31">
        <f>1544.5</f>
        <v>1544.5</v>
      </c>
      <c r="R52" s="32" t="s">
        <v>818</v>
      </c>
      <c r="S52" s="33">
        <f>1552.5</f>
        <v>1552.5</v>
      </c>
      <c r="T52" s="30">
        <f>3280</f>
        <v>3280</v>
      </c>
      <c r="U52" s="30" t="str">
        <f>"－"</f>
        <v>－</v>
      </c>
      <c r="V52" s="30">
        <f>5101985</f>
        <v>5101985</v>
      </c>
      <c r="W52" s="30" t="str">
        <f>"－"</f>
        <v>－</v>
      </c>
      <c r="X52" s="34">
        <f>18</f>
        <v>18</v>
      </c>
    </row>
    <row r="53" spans="1:24" x14ac:dyDescent="0.15">
      <c r="A53" s="25" t="s">
        <v>817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4185</f>
        <v>4185</v>
      </c>
      <c r="L53" s="32" t="s">
        <v>811</v>
      </c>
      <c r="M53" s="31">
        <f>4645</f>
        <v>4645</v>
      </c>
      <c r="N53" s="32" t="s">
        <v>266</v>
      </c>
      <c r="O53" s="31">
        <f>4140</f>
        <v>4140</v>
      </c>
      <c r="P53" s="32" t="s">
        <v>810</v>
      </c>
      <c r="Q53" s="31">
        <f>4475</f>
        <v>4475</v>
      </c>
      <c r="R53" s="32" t="s">
        <v>818</v>
      </c>
      <c r="S53" s="33">
        <f>4351.84</f>
        <v>4351.84</v>
      </c>
      <c r="T53" s="30">
        <f>1887465</f>
        <v>1887465</v>
      </c>
      <c r="U53" s="30">
        <f>700000</f>
        <v>700000</v>
      </c>
      <c r="V53" s="30">
        <f>8276135290</f>
        <v>8276135290</v>
      </c>
      <c r="W53" s="30">
        <f>3013587500</f>
        <v>3013587500</v>
      </c>
      <c r="X53" s="34">
        <f>19</f>
        <v>19</v>
      </c>
    </row>
    <row r="54" spans="1:24" x14ac:dyDescent="0.15">
      <c r="A54" s="25" t="s">
        <v>817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4980</f>
        <v>4980</v>
      </c>
      <c r="L54" s="32" t="s">
        <v>811</v>
      </c>
      <c r="M54" s="31">
        <f>5460</f>
        <v>5460</v>
      </c>
      <c r="N54" s="32" t="s">
        <v>266</v>
      </c>
      <c r="O54" s="31">
        <f>4925</f>
        <v>4925</v>
      </c>
      <c r="P54" s="32" t="s">
        <v>810</v>
      </c>
      <c r="Q54" s="31">
        <f>5270</f>
        <v>5270</v>
      </c>
      <c r="R54" s="32" t="s">
        <v>818</v>
      </c>
      <c r="S54" s="33">
        <f>5140</f>
        <v>5140</v>
      </c>
      <c r="T54" s="30">
        <f>941911</f>
        <v>941911</v>
      </c>
      <c r="U54" s="30">
        <f>20000</f>
        <v>20000</v>
      </c>
      <c r="V54" s="30">
        <f>4923956645</f>
        <v>4923956645</v>
      </c>
      <c r="W54" s="30">
        <f>108312000</f>
        <v>108312000</v>
      </c>
      <c r="X54" s="34">
        <f>19</f>
        <v>19</v>
      </c>
    </row>
    <row r="55" spans="1:24" x14ac:dyDescent="0.15">
      <c r="A55" s="25" t="s">
        <v>817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18685</f>
        <v>18685</v>
      </c>
      <c r="L55" s="32" t="s">
        <v>811</v>
      </c>
      <c r="M55" s="31">
        <f>19100</f>
        <v>19100</v>
      </c>
      <c r="N55" s="32" t="s">
        <v>810</v>
      </c>
      <c r="O55" s="31">
        <f>14930</f>
        <v>14930</v>
      </c>
      <c r="P55" s="32" t="s">
        <v>266</v>
      </c>
      <c r="Q55" s="31">
        <f>16070</f>
        <v>16070</v>
      </c>
      <c r="R55" s="32" t="s">
        <v>818</v>
      </c>
      <c r="S55" s="33">
        <f>17194.74</f>
        <v>17194.740000000002</v>
      </c>
      <c r="T55" s="30">
        <f>15521927</f>
        <v>15521927</v>
      </c>
      <c r="U55" s="30" t="str">
        <f>"－"</f>
        <v>－</v>
      </c>
      <c r="V55" s="30">
        <f>263438381920</f>
        <v>263438381920</v>
      </c>
      <c r="W55" s="30" t="str">
        <f>"－"</f>
        <v>－</v>
      </c>
      <c r="X55" s="34">
        <f>19</f>
        <v>19</v>
      </c>
    </row>
    <row r="56" spans="1:24" x14ac:dyDescent="0.15">
      <c r="A56" s="25" t="s">
        <v>817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1513</f>
        <v>1513</v>
      </c>
      <c r="L56" s="32" t="s">
        <v>811</v>
      </c>
      <c r="M56" s="31">
        <f>1861</f>
        <v>1861</v>
      </c>
      <c r="N56" s="32" t="s">
        <v>266</v>
      </c>
      <c r="O56" s="31">
        <f>1479</f>
        <v>1479</v>
      </c>
      <c r="P56" s="32" t="s">
        <v>810</v>
      </c>
      <c r="Q56" s="31">
        <f>1729</f>
        <v>1729</v>
      </c>
      <c r="R56" s="32" t="s">
        <v>818</v>
      </c>
      <c r="S56" s="33">
        <f>1635.37</f>
        <v>1635.37</v>
      </c>
      <c r="T56" s="30">
        <f>180614881</f>
        <v>180614881</v>
      </c>
      <c r="U56" s="30">
        <f>200117</f>
        <v>200117</v>
      </c>
      <c r="V56" s="30">
        <f>298108581424</f>
        <v>298108581424</v>
      </c>
      <c r="W56" s="30">
        <f>333239544</f>
        <v>333239544</v>
      </c>
      <c r="X56" s="34">
        <f>19</f>
        <v>19</v>
      </c>
    </row>
    <row r="57" spans="1:24" x14ac:dyDescent="0.15">
      <c r="A57" s="25" t="s">
        <v>817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15970</f>
        <v>15970</v>
      </c>
      <c r="L57" s="32" t="s">
        <v>811</v>
      </c>
      <c r="M57" s="31">
        <f>16330</f>
        <v>16330</v>
      </c>
      <c r="N57" s="32" t="s">
        <v>810</v>
      </c>
      <c r="O57" s="31">
        <f>13200</f>
        <v>13200</v>
      </c>
      <c r="P57" s="32" t="s">
        <v>266</v>
      </c>
      <c r="Q57" s="31">
        <f>14020</f>
        <v>14020</v>
      </c>
      <c r="R57" s="32" t="s">
        <v>818</v>
      </c>
      <c r="S57" s="33">
        <f>14959.47</f>
        <v>14959.47</v>
      </c>
      <c r="T57" s="30">
        <f>6695</f>
        <v>6695</v>
      </c>
      <c r="U57" s="30" t="str">
        <f>"－"</f>
        <v>－</v>
      </c>
      <c r="V57" s="30">
        <f>97835840</f>
        <v>97835840</v>
      </c>
      <c r="W57" s="30" t="str">
        <f>"－"</f>
        <v>－</v>
      </c>
      <c r="X57" s="34">
        <f>19</f>
        <v>19</v>
      </c>
    </row>
    <row r="58" spans="1:24" x14ac:dyDescent="0.15">
      <c r="A58" s="25" t="s">
        <v>817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4805</f>
        <v>4805</v>
      </c>
      <c r="L58" s="32" t="s">
        <v>811</v>
      </c>
      <c r="M58" s="31">
        <f>5310</f>
        <v>5310</v>
      </c>
      <c r="N58" s="32" t="s">
        <v>266</v>
      </c>
      <c r="O58" s="31">
        <f>4775</f>
        <v>4775</v>
      </c>
      <c r="P58" s="32" t="s">
        <v>80</v>
      </c>
      <c r="Q58" s="31">
        <f>5230</f>
        <v>5230</v>
      </c>
      <c r="R58" s="32" t="s">
        <v>818</v>
      </c>
      <c r="S58" s="33">
        <f>5009</f>
        <v>5009</v>
      </c>
      <c r="T58" s="30">
        <f>1319</f>
        <v>1319</v>
      </c>
      <c r="U58" s="30" t="str">
        <f>"－"</f>
        <v>－</v>
      </c>
      <c r="V58" s="30">
        <f>6628265</f>
        <v>6628265</v>
      </c>
      <c r="W58" s="30" t="str">
        <f>"－"</f>
        <v>－</v>
      </c>
      <c r="X58" s="34">
        <f>15</f>
        <v>15</v>
      </c>
    </row>
    <row r="59" spans="1:24" x14ac:dyDescent="0.15">
      <c r="A59" s="25" t="s">
        <v>817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1873</f>
        <v>1873</v>
      </c>
      <c r="L59" s="32" t="s">
        <v>811</v>
      </c>
      <c r="M59" s="31">
        <f>2220</f>
        <v>2220</v>
      </c>
      <c r="N59" s="32" t="s">
        <v>266</v>
      </c>
      <c r="O59" s="31">
        <f>1825</f>
        <v>1825</v>
      </c>
      <c r="P59" s="32" t="s">
        <v>810</v>
      </c>
      <c r="Q59" s="31">
        <f>2069</f>
        <v>2069</v>
      </c>
      <c r="R59" s="32" t="s">
        <v>818</v>
      </c>
      <c r="S59" s="33">
        <f>1979.84</f>
        <v>1979.84</v>
      </c>
      <c r="T59" s="30">
        <f>57718</f>
        <v>57718</v>
      </c>
      <c r="U59" s="30" t="str">
        <f>"－"</f>
        <v>－</v>
      </c>
      <c r="V59" s="30">
        <f>115587258</f>
        <v>115587258</v>
      </c>
      <c r="W59" s="30" t="str">
        <f>"－"</f>
        <v>－</v>
      </c>
      <c r="X59" s="34">
        <f>19</f>
        <v>19</v>
      </c>
    </row>
    <row r="60" spans="1:24" x14ac:dyDescent="0.15">
      <c r="A60" s="25" t="s">
        <v>817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14920</f>
        <v>14920</v>
      </c>
      <c r="L60" s="32" t="s">
        <v>811</v>
      </c>
      <c r="M60" s="31">
        <f>15090</f>
        <v>15090</v>
      </c>
      <c r="N60" s="32" t="s">
        <v>56</v>
      </c>
      <c r="O60" s="31">
        <f>12300</f>
        <v>12300</v>
      </c>
      <c r="P60" s="32" t="s">
        <v>266</v>
      </c>
      <c r="Q60" s="31">
        <f>13275</f>
        <v>13275</v>
      </c>
      <c r="R60" s="32" t="s">
        <v>818</v>
      </c>
      <c r="S60" s="33">
        <f>13983.06</f>
        <v>13983.06</v>
      </c>
      <c r="T60" s="30">
        <f>6350</f>
        <v>6350</v>
      </c>
      <c r="U60" s="30">
        <f>40</f>
        <v>40</v>
      </c>
      <c r="V60" s="30">
        <f>88330350</f>
        <v>88330350</v>
      </c>
      <c r="W60" s="30">
        <f>525600</f>
        <v>525600</v>
      </c>
      <c r="X60" s="34">
        <f>18</f>
        <v>18</v>
      </c>
    </row>
    <row r="61" spans="1:24" x14ac:dyDescent="0.15">
      <c r="A61" s="25" t="s">
        <v>817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4585</f>
        <v>4585</v>
      </c>
      <c r="L61" s="32" t="s">
        <v>811</v>
      </c>
      <c r="M61" s="31">
        <f>4869</f>
        <v>4869</v>
      </c>
      <c r="N61" s="32" t="s">
        <v>815</v>
      </c>
      <c r="O61" s="31">
        <f>4515</f>
        <v>4515</v>
      </c>
      <c r="P61" s="32" t="s">
        <v>80</v>
      </c>
      <c r="Q61" s="31">
        <f>4865</f>
        <v>4865</v>
      </c>
      <c r="R61" s="32" t="s">
        <v>266</v>
      </c>
      <c r="S61" s="33">
        <f>4751.11</f>
        <v>4751.1099999999997</v>
      </c>
      <c r="T61" s="30">
        <f>640550</f>
        <v>640550</v>
      </c>
      <c r="U61" s="30">
        <f>640000</f>
        <v>640000</v>
      </c>
      <c r="V61" s="30">
        <f>2999863930</f>
        <v>2999863930</v>
      </c>
      <c r="W61" s="30">
        <f>2997280000</f>
        <v>2997280000</v>
      </c>
      <c r="X61" s="34">
        <f>9</f>
        <v>9</v>
      </c>
    </row>
    <row r="62" spans="1:24" x14ac:dyDescent="0.15">
      <c r="A62" s="25" t="s">
        <v>817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1860</f>
        <v>1860</v>
      </c>
      <c r="L62" s="32" t="s">
        <v>811</v>
      </c>
      <c r="M62" s="31">
        <f>2190</f>
        <v>2190</v>
      </c>
      <c r="N62" s="32" t="s">
        <v>266</v>
      </c>
      <c r="O62" s="31">
        <f>1813</f>
        <v>1813</v>
      </c>
      <c r="P62" s="32" t="s">
        <v>810</v>
      </c>
      <c r="Q62" s="31">
        <f>2044.5</f>
        <v>2044.5</v>
      </c>
      <c r="R62" s="32" t="s">
        <v>818</v>
      </c>
      <c r="S62" s="33">
        <f>1954.37</f>
        <v>1954.37</v>
      </c>
      <c r="T62" s="30">
        <f>81520</f>
        <v>81520</v>
      </c>
      <c r="U62" s="30" t="str">
        <f>"－"</f>
        <v>－</v>
      </c>
      <c r="V62" s="30">
        <f>160517590</f>
        <v>160517590</v>
      </c>
      <c r="W62" s="30" t="str">
        <f>"－"</f>
        <v>－</v>
      </c>
      <c r="X62" s="34">
        <f>19</f>
        <v>19</v>
      </c>
    </row>
    <row r="63" spans="1:24" x14ac:dyDescent="0.15">
      <c r="A63" s="25" t="s">
        <v>817</v>
      </c>
      <c r="B63" s="25" t="s">
        <v>218</v>
      </c>
      <c r="C63" s="25" t="s">
        <v>219</v>
      </c>
      <c r="D63" s="25" t="s">
        <v>220</v>
      </c>
      <c r="E63" s="26" t="s">
        <v>45</v>
      </c>
      <c r="F63" s="27" t="s">
        <v>45</v>
      </c>
      <c r="G63" s="28" t="s">
        <v>45</v>
      </c>
      <c r="H63" s="29" t="s">
        <v>333</v>
      </c>
      <c r="I63" s="29" t="s">
        <v>46</v>
      </c>
      <c r="J63" s="30">
        <v>1</v>
      </c>
      <c r="K63" s="31">
        <f>3125</f>
        <v>3125</v>
      </c>
      <c r="L63" s="32" t="s">
        <v>811</v>
      </c>
      <c r="M63" s="31">
        <f>3365</f>
        <v>3365</v>
      </c>
      <c r="N63" s="32" t="s">
        <v>94</v>
      </c>
      <c r="O63" s="31">
        <f>3060</f>
        <v>3060</v>
      </c>
      <c r="P63" s="32" t="s">
        <v>80</v>
      </c>
      <c r="Q63" s="31">
        <f>3275</f>
        <v>3275</v>
      </c>
      <c r="R63" s="32" t="s">
        <v>818</v>
      </c>
      <c r="S63" s="33">
        <f>3215.63</f>
        <v>3215.63</v>
      </c>
      <c r="T63" s="30">
        <f>925903</f>
        <v>925903</v>
      </c>
      <c r="U63" s="30">
        <f>925002</f>
        <v>925002</v>
      </c>
      <c r="V63" s="30">
        <f>2972717090</f>
        <v>2972717090</v>
      </c>
      <c r="W63" s="30">
        <f>2969789585</f>
        <v>2969789585</v>
      </c>
      <c r="X63" s="34">
        <f>16</f>
        <v>16</v>
      </c>
    </row>
    <row r="64" spans="1:24" x14ac:dyDescent="0.15">
      <c r="A64" s="25" t="s">
        <v>817</v>
      </c>
      <c r="B64" s="25" t="s">
        <v>221</v>
      </c>
      <c r="C64" s="25" t="s">
        <v>222</v>
      </c>
      <c r="D64" s="25" t="s">
        <v>223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755</f>
        <v>755</v>
      </c>
      <c r="L64" s="32" t="s">
        <v>811</v>
      </c>
      <c r="M64" s="31">
        <f>889</f>
        <v>889</v>
      </c>
      <c r="N64" s="32" t="s">
        <v>266</v>
      </c>
      <c r="O64" s="31">
        <f>725</f>
        <v>725</v>
      </c>
      <c r="P64" s="32" t="s">
        <v>810</v>
      </c>
      <c r="Q64" s="31">
        <f>837</f>
        <v>837</v>
      </c>
      <c r="R64" s="32" t="s">
        <v>818</v>
      </c>
      <c r="S64" s="33">
        <f>789.26</f>
        <v>789.26</v>
      </c>
      <c r="T64" s="30">
        <f>81455</f>
        <v>81455</v>
      </c>
      <c r="U64" s="30" t="str">
        <f>"－"</f>
        <v>－</v>
      </c>
      <c r="V64" s="30">
        <f>65678218</f>
        <v>65678218</v>
      </c>
      <c r="W64" s="30" t="str">
        <f>"－"</f>
        <v>－</v>
      </c>
      <c r="X64" s="34">
        <f>19</f>
        <v>19</v>
      </c>
    </row>
    <row r="65" spans="1:24" x14ac:dyDescent="0.15">
      <c r="A65" s="25" t="s">
        <v>817</v>
      </c>
      <c r="B65" s="25" t="s">
        <v>224</v>
      </c>
      <c r="C65" s="25" t="s">
        <v>225</v>
      </c>
      <c r="D65" s="25" t="s">
        <v>226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10</v>
      </c>
      <c r="K65" s="31">
        <f>2053</f>
        <v>2053</v>
      </c>
      <c r="L65" s="32" t="s">
        <v>811</v>
      </c>
      <c r="M65" s="31">
        <f>2085</f>
        <v>2085</v>
      </c>
      <c r="N65" s="32" t="s">
        <v>810</v>
      </c>
      <c r="O65" s="31">
        <f>1860</f>
        <v>1860</v>
      </c>
      <c r="P65" s="32" t="s">
        <v>266</v>
      </c>
      <c r="Q65" s="31">
        <f>1921</f>
        <v>1921</v>
      </c>
      <c r="R65" s="32" t="s">
        <v>818</v>
      </c>
      <c r="S65" s="33">
        <f>1980.21</f>
        <v>1980.21</v>
      </c>
      <c r="T65" s="30">
        <f>317670</f>
        <v>317670</v>
      </c>
      <c r="U65" s="30">
        <f>23120</f>
        <v>23120</v>
      </c>
      <c r="V65" s="30">
        <f>619638043</f>
        <v>619638043</v>
      </c>
      <c r="W65" s="30">
        <f>44988148</f>
        <v>44988148</v>
      </c>
      <c r="X65" s="34">
        <f>19</f>
        <v>19</v>
      </c>
    </row>
    <row r="66" spans="1:24" x14ac:dyDescent="0.15">
      <c r="A66" s="25" t="s">
        <v>817</v>
      </c>
      <c r="B66" s="25" t="s">
        <v>227</v>
      </c>
      <c r="C66" s="25" t="s">
        <v>228</v>
      </c>
      <c r="D66" s="25" t="s">
        <v>229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18485</f>
        <v>18485</v>
      </c>
      <c r="L66" s="32" t="s">
        <v>811</v>
      </c>
      <c r="M66" s="31">
        <f>18735</f>
        <v>18735</v>
      </c>
      <c r="N66" s="32" t="s">
        <v>810</v>
      </c>
      <c r="O66" s="31">
        <f>16720</f>
        <v>16720</v>
      </c>
      <c r="P66" s="32" t="s">
        <v>266</v>
      </c>
      <c r="Q66" s="31">
        <f>17200</f>
        <v>17200</v>
      </c>
      <c r="R66" s="32" t="s">
        <v>818</v>
      </c>
      <c r="S66" s="33">
        <f>17771.32</f>
        <v>17771.32</v>
      </c>
      <c r="T66" s="30">
        <f>29742</f>
        <v>29742</v>
      </c>
      <c r="U66" s="30">
        <f>20000</f>
        <v>20000</v>
      </c>
      <c r="V66" s="30">
        <f>523533055</f>
        <v>523533055</v>
      </c>
      <c r="W66" s="30">
        <f>352392000</f>
        <v>352392000</v>
      </c>
      <c r="X66" s="34">
        <f>19</f>
        <v>19</v>
      </c>
    </row>
    <row r="67" spans="1:24" x14ac:dyDescent="0.15">
      <c r="A67" s="25" t="s">
        <v>817</v>
      </c>
      <c r="B67" s="25" t="s">
        <v>230</v>
      </c>
      <c r="C67" s="25" t="s">
        <v>231</v>
      </c>
      <c r="D67" s="25" t="s">
        <v>232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2071</f>
        <v>2071</v>
      </c>
      <c r="L67" s="32" t="s">
        <v>811</v>
      </c>
      <c r="M67" s="31">
        <f>2099</f>
        <v>2099</v>
      </c>
      <c r="N67" s="32" t="s">
        <v>810</v>
      </c>
      <c r="O67" s="31">
        <f>1886</f>
        <v>1886</v>
      </c>
      <c r="P67" s="32" t="s">
        <v>266</v>
      </c>
      <c r="Q67" s="31">
        <f>1946</f>
        <v>1946</v>
      </c>
      <c r="R67" s="32" t="s">
        <v>818</v>
      </c>
      <c r="S67" s="33">
        <f>2008.84</f>
        <v>2008.84</v>
      </c>
      <c r="T67" s="30">
        <f>7684409</f>
        <v>7684409</v>
      </c>
      <c r="U67" s="30">
        <f>1734381</f>
        <v>1734381</v>
      </c>
      <c r="V67" s="30">
        <f>15403604132</f>
        <v>15403604132</v>
      </c>
      <c r="W67" s="30">
        <f>3531072805</f>
        <v>3531072805</v>
      </c>
      <c r="X67" s="34">
        <f>19</f>
        <v>19</v>
      </c>
    </row>
    <row r="68" spans="1:24" x14ac:dyDescent="0.15">
      <c r="A68" s="25" t="s">
        <v>817</v>
      </c>
      <c r="B68" s="25" t="s">
        <v>233</v>
      </c>
      <c r="C68" s="25" t="s">
        <v>234</v>
      </c>
      <c r="D68" s="25" t="s">
        <v>235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2146</f>
        <v>2146</v>
      </c>
      <c r="L68" s="32" t="s">
        <v>811</v>
      </c>
      <c r="M68" s="31">
        <f>2156</f>
        <v>2156</v>
      </c>
      <c r="N68" s="32" t="s">
        <v>810</v>
      </c>
      <c r="O68" s="31">
        <f>1846</f>
        <v>1846</v>
      </c>
      <c r="P68" s="32" t="s">
        <v>66</v>
      </c>
      <c r="Q68" s="31">
        <f>2021</f>
        <v>2021</v>
      </c>
      <c r="R68" s="32" t="s">
        <v>818</v>
      </c>
      <c r="S68" s="33">
        <f>2026.63</f>
        <v>2026.63</v>
      </c>
      <c r="T68" s="30">
        <f>6451358</f>
        <v>6451358</v>
      </c>
      <c r="U68" s="30">
        <f>1686927</f>
        <v>1686927</v>
      </c>
      <c r="V68" s="30">
        <f>12977719430</f>
        <v>12977719430</v>
      </c>
      <c r="W68" s="30">
        <f>3377958318</f>
        <v>3377958318</v>
      </c>
      <c r="X68" s="34">
        <f>19</f>
        <v>19</v>
      </c>
    </row>
    <row r="69" spans="1:24" x14ac:dyDescent="0.15">
      <c r="A69" s="25" t="s">
        <v>817</v>
      </c>
      <c r="B69" s="25" t="s">
        <v>236</v>
      </c>
      <c r="C69" s="25" t="s">
        <v>237</v>
      </c>
      <c r="D69" s="25" t="s">
        <v>238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1912</f>
        <v>1912</v>
      </c>
      <c r="L69" s="32" t="s">
        <v>811</v>
      </c>
      <c r="M69" s="31">
        <f>1930</f>
        <v>1930</v>
      </c>
      <c r="N69" s="32" t="s">
        <v>810</v>
      </c>
      <c r="O69" s="31">
        <f>1771</f>
        <v>1771</v>
      </c>
      <c r="P69" s="32" t="s">
        <v>266</v>
      </c>
      <c r="Q69" s="31">
        <f>1813</f>
        <v>1813</v>
      </c>
      <c r="R69" s="32" t="s">
        <v>818</v>
      </c>
      <c r="S69" s="33">
        <f>1855.21</f>
        <v>1855.21</v>
      </c>
      <c r="T69" s="30">
        <f>56010</f>
        <v>56010</v>
      </c>
      <c r="U69" s="30">
        <f>42888</f>
        <v>42888</v>
      </c>
      <c r="V69" s="30">
        <f>103130399</f>
        <v>103130399</v>
      </c>
      <c r="W69" s="30">
        <f>78603252</f>
        <v>78603252</v>
      </c>
      <c r="X69" s="34">
        <f>19</f>
        <v>19</v>
      </c>
    </row>
    <row r="70" spans="1:24" x14ac:dyDescent="0.15">
      <c r="A70" s="25" t="s">
        <v>817</v>
      </c>
      <c r="B70" s="25" t="s">
        <v>239</v>
      </c>
      <c r="C70" s="25" t="s">
        <v>240</v>
      </c>
      <c r="D70" s="25" t="s">
        <v>241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2210</f>
        <v>2210</v>
      </c>
      <c r="L70" s="32" t="s">
        <v>811</v>
      </c>
      <c r="M70" s="31">
        <f>2310</f>
        <v>2310</v>
      </c>
      <c r="N70" s="32" t="s">
        <v>819</v>
      </c>
      <c r="O70" s="31">
        <f>2196</f>
        <v>2196</v>
      </c>
      <c r="P70" s="32" t="s">
        <v>811</v>
      </c>
      <c r="Q70" s="31">
        <f>2270</f>
        <v>2270</v>
      </c>
      <c r="R70" s="32" t="s">
        <v>818</v>
      </c>
      <c r="S70" s="33">
        <f>2265.58</f>
        <v>2265.58</v>
      </c>
      <c r="T70" s="30">
        <f>393207</f>
        <v>393207</v>
      </c>
      <c r="U70" s="30">
        <f>57700</f>
        <v>57700</v>
      </c>
      <c r="V70" s="30">
        <f>889178798</f>
        <v>889178798</v>
      </c>
      <c r="W70" s="30">
        <f>129881958</f>
        <v>129881958</v>
      </c>
      <c r="X70" s="34">
        <f>19</f>
        <v>19</v>
      </c>
    </row>
    <row r="71" spans="1:24" x14ac:dyDescent="0.15">
      <c r="A71" s="25" t="s">
        <v>817</v>
      </c>
      <c r="B71" s="25" t="s">
        <v>242</v>
      </c>
      <c r="C71" s="25" t="s">
        <v>243</v>
      </c>
      <c r="D71" s="25" t="s">
        <v>244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25870</f>
        <v>25870</v>
      </c>
      <c r="L71" s="32" t="s">
        <v>811</v>
      </c>
      <c r="M71" s="31">
        <f>26050</f>
        <v>26050</v>
      </c>
      <c r="N71" s="32" t="s">
        <v>810</v>
      </c>
      <c r="O71" s="31">
        <f>23210</f>
        <v>23210</v>
      </c>
      <c r="P71" s="32" t="s">
        <v>266</v>
      </c>
      <c r="Q71" s="31">
        <f>23660</f>
        <v>23660</v>
      </c>
      <c r="R71" s="32" t="s">
        <v>818</v>
      </c>
      <c r="S71" s="33">
        <f>24537</f>
        <v>24537</v>
      </c>
      <c r="T71" s="30">
        <f>121</f>
        <v>121</v>
      </c>
      <c r="U71" s="30" t="str">
        <f>"－"</f>
        <v>－</v>
      </c>
      <c r="V71" s="30">
        <f>2957590</f>
        <v>2957590</v>
      </c>
      <c r="W71" s="30" t="str">
        <f>"－"</f>
        <v>－</v>
      </c>
      <c r="X71" s="34">
        <f>10</f>
        <v>10</v>
      </c>
    </row>
    <row r="72" spans="1:24" x14ac:dyDescent="0.15">
      <c r="A72" s="25" t="s">
        <v>817</v>
      </c>
      <c r="B72" s="25" t="s">
        <v>245</v>
      </c>
      <c r="C72" s="25" t="s">
        <v>246</v>
      </c>
      <c r="D72" s="25" t="s">
        <v>247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20525</f>
        <v>20525</v>
      </c>
      <c r="L72" s="32" t="s">
        <v>811</v>
      </c>
      <c r="M72" s="31">
        <f>20835</f>
        <v>20835</v>
      </c>
      <c r="N72" s="32" t="s">
        <v>810</v>
      </c>
      <c r="O72" s="31">
        <f>18760</f>
        <v>18760</v>
      </c>
      <c r="P72" s="32" t="s">
        <v>266</v>
      </c>
      <c r="Q72" s="31">
        <f>19005</f>
        <v>19005</v>
      </c>
      <c r="R72" s="32" t="s">
        <v>818</v>
      </c>
      <c r="S72" s="33">
        <f>19900</f>
        <v>19900</v>
      </c>
      <c r="T72" s="30">
        <f>70</f>
        <v>70</v>
      </c>
      <c r="U72" s="30" t="str">
        <f>"－"</f>
        <v>－</v>
      </c>
      <c r="V72" s="30">
        <f>1392940</f>
        <v>1392940</v>
      </c>
      <c r="W72" s="30" t="str">
        <f>"－"</f>
        <v>－</v>
      </c>
      <c r="X72" s="34">
        <f>12</f>
        <v>12</v>
      </c>
    </row>
    <row r="73" spans="1:24" x14ac:dyDescent="0.15">
      <c r="A73" s="25" t="s">
        <v>817</v>
      </c>
      <c r="B73" s="25" t="s">
        <v>248</v>
      </c>
      <c r="C73" s="25" t="s">
        <v>249</v>
      </c>
      <c r="D73" s="25" t="s">
        <v>250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2066</f>
        <v>2066</v>
      </c>
      <c r="L73" s="32" t="s">
        <v>811</v>
      </c>
      <c r="M73" s="31">
        <f>2074</f>
        <v>2074</v>
      </c>
      <c r="N73" s="32" t="s">
        <v>810</v>
      </c>
      <c r="O73" s="31">
        <f>1870</f>
        <v>1870</v>
      </c>
      <c r="P73" s="32" t="s">
        <v>266</v>
      </c>
      <c r="Q73" s="31">
        <f>1879</f>
        <v>1879</v>
      </c>
      <c r="R73" s="32" t="s">
        <v>266</v>
      </c>
      <c r="S73" s="33">
        <f>1979.53</f>
        <v>1979.53</v>
      </c>
      <c r="T73" s="30">
        <f>4075</f>
        <v>4075</v>
      </c>
      <c r="U73" s="30" t="str">
        <f>"－"</f>
        <v>－</v>
      </c>
      <c r="V73" s="30">
        <f>7910682</f>
        <v>7910682</v>
      </c>
      <c r="W73" s="30" t="str">
        <f>"－"</f>
        <v>－</v>
      </c>
      <c r="X73" s="34">
        <f>17</f>
        <v>17</v>
      </c>
    </row>
    <row r="74" spans="1:24" x14ac:dyDescent="0.15">
      <c r="A74" s="25" t="s">
        <v>817</v>
      </c>
      <c r="B74" s="25" t="s">
        <v>251</v>
      </c>
      <c r="C74" s="25" t="s">
        <v>252</v>
      </c>
      <c r="D74" s="25" t="s">
        <v>253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2324</f>
        <v>2324</v>
      </c>
      <c r="L74" s="32" t="s">
        <v>811</v>
      </c>
      <c r="M74" s="31">
        <f>2346</f>
        <v>2346</v>
      </c>
      <c r="N74" s="32" t="s">
        <v>80</v>
      </c>
      <c r="O74" s="31">
        <f>2263</f>
        <v>2263</v>
      </c>
      <c r="P74" s="32" t="s">
        <v>816</v>
      </c>
      <c r="Q74" s="31">
        <f>2279</f>
        <v>2279</v>
      </c>
      <c r="R74" s="32" t="s">
        <v>818</v>
      </c>
      <c r="S74" s="33">
        <f>2289.89</f>
        <v>2289.89</v>
      </c>
      <c r="T74" s="30">
        <f>8715156</f>
        <v>8715156</v>
      </c>
      <c r="U74" s="30">
        <f>3175052</f>
        <v>3175052</v>
      </c>
      <c r="V74" s="30">
        <f>20025627013</f>
        <v>20025627013</v>
      </c>
      <c r="W74" s="30">
        <f>7298466995</f>
        <v>7298466995</v>
      </c>
      <c r="X74" s="34">
        <f>19</f>
        <v>19</v>
      </c>
    </row>
    <row r="75" spans="1:24" x14ac:dyDescent="0.15">
      <c r="A75" s="25" t="s">
        <v>817</v>
      </c>
      <c r="B75" s="25" t="s">
        <v>254</v>
      </c>
      <c r="C75" s="25" t="s">
        <v>255</v>
      </c>
      <c r="D75" s="25" t="s">
        <v>256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1997</f>
        <v>1997</v>
      </c>
      <c r="L75" s="32" t="s">
        <v>811</v>
      </c>
      <c r="M75" s="31">
        <f>2073</f>
        <v>2073</v>
      </c>
      <c r="N75" s="32" t="s">
        <v>70</v>
      </c>
      <c r="O75" s="31">
        <f>1900</f>
        <v>1900</v>
      </c>
      <c r="P75" s="32" t="s">
        <v>266</v>
      </c>
      <c r="Q75" s="31">
        <f>1935</f>
        <v>1935</v>
      </c>
      <c r="R75" s="32" t="s">
        <v>818</v>
      </c>
      <c r="S75" s="33">
        <f>1996.71</f>
        <v>1996.71</v>
      </c>
      <c r="T75" s="30">
        <f>705</f>
        <v>705</v>
      </c>
      <c r="U75" s="30" t="str">
        <f>"－"</f>
        <v>－</v>
      </c>
      <c r="V75" s="30">
        <f>1398771</f>
        <v>1398771</v>
      </c>
      <c r="W75" s="30" t="str">
        <f>"－"</f>
        <v>－</v>
      </c>
      <c r="X75" s="34">
        <f>17</f>
        <v>17</v>
      </c>
    </row>
    <row r="76" spans="1:24" x14ac:dyDescent="0.15">
      <c r="A76" s="25" t="s">
        <v>817</v>
      </c>
      <c r="B76" s="25" t="s">
        <v>257</v>
      </c>
      <c r="C76" s="25" t="s">
        <v>258</v>
      </c>
      <c r="D76" s="25" t="s">
        <v>259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2047</f>
        <v>2047</v>
      </c>
      <c r="L76" s="32" t="s">
        <v>811</v>
      </c>
      <c r="M76" s="31">
        <f>2047.5</f>
        <v>2047.5</v>
      </c>
      <c r="N76" s="32" t="s">
        <v>810</v>
      </c>
      <c r="O76" s="31">
        <f>1843.5</f>
        <v>1843.5</v>
      </c>
      <c r="P76" s="32" t="s">
        <v>266</v>
      </c>
      <c r="Q76" s="31">
        <f>1887.5</f>
        <v>1887.5</v>
      </c>
      <c r="R76" s="32" t="s">
        <v>818</v>
      </c>
      <c r="S76" s="33">
        <f>1945.79</f>
        <v>1945.79</v>
      </c>
      <c r="T76" s="30">
        <f>3960</f>
        <v>3960</v>
      </c>
      <c r="U76" s="30" t="str">
        <f>"－"</f>
        <v>－</v>
      </c>
      <c r="V76" s="30">
        <f>7720125</f>
        <v>7720125</v>
      </c>
      <c r="W76" s="30" t="str">
        <f>"－"</f>
        <v>－</v>
      </c>
      <c r="X76" s="34">
        <f>19</f>
        <v>19</v>
      </c>
    </row>
    <row r="77" spans="1:24" x14ac:dyDescent="0.15">
      <c r="A77" s="25" t="s">
        <v>817</v>
      </c>
      <c r="B77" s="25" t="s">
        <v>260</v>
      </c>
      <c r="C77" s="25" t="s">
        <v>261</v>
      </c>
      <c r="D77" s="25" t="s">
        <v>262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32160</f>
        <v>32160</v>
      </c>
      <c r="L77" s="32" t="s">
        <v>811</v>
      </c>
      <c r="M77" s="31">
        <f>32950</f>
        <v>32950</v>
      </c>
      <c r="N77" s="32" t="s">
        <v>811</v>
      </c>
      <c r="O77" s="31">
        <f>28300</f>
        <v>28300</v>
      </c>
      <c r="P77" s="32" t="s">
        <v>94</v>
      </c>
      <c r="Q77" s="31">
        <f>28400</f>
        <v>28400</v>
      </c>
      <c r="R77" s="32" t="s">
        <v>818</v>
      </c>
      <c r="S77" s="33">
        <f>29400</f>
        <v>29400</v>
      </c>
      <c r="T77" s="30">
        <f>35</f>
        <v>35</v>
      </c>
      <c r="U77" s="30" t="str">
        <f>"－"</f>
        <v>－</v>
      </c>
      <c r="V77" s="30">
        <f>1052240</f>
        <v>1052240</v>
      </c>
      <c r="W77" s="30" t="str">
        <f>"－"</f>
        <v>－</v>
      </c>
      <c r="X77" s="34">
        <f>7</f>
        <v>7</v>
      </c>
    </row>
    <row r="78" spans="1:24" x14ac:dyDescent="0.15">
      <c r="A78" s="25" t="s">
        <v>817</v>
      </c>
      <c r="B78" s="25" t="s">
        <v>263</v>
      </c>
      <c r="C78" s="25" t="s">
        <v>264</v>
      </c>
      <c r="D78" s="25" t="s">
        <v>265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22160</f>
        <v>22160</v>
      </c>
      <c r="L78" s="32" t="s">
        <v>811</v>
      </c>
      <c r="M78" s="31">
        <f>22260</f>
        <v>22260</v>
      </c>
      <c r="N78" s="32" t="s">
        <v>810</v>
      </c>
      <c r="O78" s="31">
        <f>21225</f>
        <v>21225</v>
      </c>
      <c r="P78" s="32" t="s">
        <v>816</v>
      </c>
      <c r="Q78" s="31">
        <f>21585</f>
        <v>21585</v>
      </c>
      <c r="R78" s="32" t="s">
        <v>818</v>
      </c>
      <c r="S78" s="33">
        <f>21550.79</f>
        <v>21550.79</v>
      </c>
      <c r="T78" s="30">
        <f>128615</f>
        <v>128615</v>
      </c>
      <c r="U78" s="30">
        <f>58305</f>
        <v>58305</v>
      </c>
      <c r="V78" s="30">
        <f>2794261215</f>
        <v>2794261215</v>
      </c>
      <c r="W78" s="30">
        <f>1282211455</f>
        <v>1282211455</v>
      </c>
      <c r="X78" s="34">
        <f>19</f>
        <v>19</v>
      </c>
    </row>
    <row r="79" spans="1:24" x14ac:dyDescent="0.15">
      <c r="A79" s="25" t="s">
        <v>817</v>
      </c>
      <c r="B79" s="25" t="s">
        <v>267</v>
      </c>
      <c r="C79" s="25" t="s">
        <v>268</v>
      </c>
      <c r="D79" s="25" t="s">
        <v>269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18125</f>
        <v>18125</v>
      </c>
      <c r="L79" s="32" t="s">
        <v>811</v>
      </c>
      <c r="M79" s="31">
        <f>18130</f>
        <v>18130</v>
      </c>
      <c r="N79" s="32" t="s">
        <v>811</v>
      </c>
      <c r="O79" s="31">
        <f>17530</f>
        <v>17530</v>
      </c>
      <c r="P79" s="32" t="s">
        <v>816</v>
      </c>
      <c r="Q79" s="31">
        <f>17670</f>
        <v>17670</v>
      </c>
      <c r="R79" s="32" t="s">
        <v>818</v>
      </c>
      <c r="S79" s="33">
        <f>17740.26</f>
        <v>17740.259999999998</v>
      </c>
      <c r="T79" s="30">
        <f>186813</f>
        <v>186813</v>
      </c>
      <c r="U79" s="30">
        <f>105900</f>
        <v>105900</v>
      </c>
      <c r="V79" s="30">
        <f>3318136279</f>
        <v>3318136279</v>
      </c>
      <c r="W79" s="30">
        <f>1872962409</f>
        <v>1872962409</v>
      </c>
      <c r="X79" s="34">
        <f>19</f>
        <v>19</v>
      </c>
    </row>
    <row r="80" spans="1:24" x14ac:dyDescent="0.15">
      <c r="A80" s="25" t="s">
        <v>817</v>
      </c>
      <c r="B80" s="25" t="s">
        <v>270</v>
      </c>
      <c r="C80" s="25" t="s">
        <v>271</v>
      </c>
      <c r="D80" s="25" t="s">
        <v>272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2143</f>
        <v>2143</v>
      </c>
      <c r="L80" s="32" t="s">
        <v>811</v>
      </c>
      <c r="M80" s="31">
        <f>2147.5</f>
        <v>2147.5</v>
      </c>
      <c r="N80" s="32" t="s">
        <v>811</v>
      </c>
      <c r="O80" s="31">
        <f>1843</f>
        <v>1843</v>
      </c>
      <c r="P80" s="32" t="s">
        <v>66</v>
      </c>
      <c r="Q80" s="31">
        <f>2018.5</f>
        <v>2018.5</v>
      </c>
      <c r="R80" s="32" t="s">
        <v>818</v>
      </c>
      <c r="S80" s="33">
        <f>2023.34</f>
        <v>2023.34</v>
      </c>
      <c r="T80" s="30">
        <f>2418260</f>
        <v>2418260</v>
      </c>
      <c r="U80" s="30">
        <f>424180</f>
        <v>424180</v>
      </c>
      <c r="V80" s="30">
        <f>4861493411</f>
        <v>4861493411</v>
      </c>
      <c r="W80" s="30">
        <f>854804446</f>
        <v>854804446</v>
      </c>
      <c r="X80" s="34">
        <f>19</f>
        <v>19</v>
      </c>
    </row>
    <row r="81" spans="1:24" x14ac:dyDescent="0.15">
      <c r="A81" s="25" t="s">
        <v>817</v>
      </c>
      <c r="B81" s="25" t="s">
        <v>273</v>
      </c>
      <c r="C81" s="25" t="s">
        <v>274</v>
      </c>
      <c r="D81" s="25" t="s">
        <v>275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36980</f>
        <v>36980</v>
      </c>
      <c r="L81" s="32" t="s">
        <v>811</v>
      </c>
      <c r="M81" s="31">
        <f>39530</f>
        <v>39530</v>
      </c>
      <c r="N81" s="32" t="s">
        <v>819</v>
      </c>
      <c r="O81" s="31">
        <f>36980</f>
        <v>36980</v>
      </c>
      <c r="P81" s="32" t="s">
        <v>811</v>
      </c>
      <c r="Q81" s="31">
        <f>38210</f>
        <v>38210</v>
      </c>
      <c r="R81" s="32" t="s">
        <v>818</v>
      </c>
      <c r="S81" s="33">
        <f>38315.79</f>
        <v>38315.79</v>
      </c>
      <c r="T81" s="30">
        <f>56795</f>
        <v>56795</v>
      </c>
      <c r="U81" s="30">
        <f>4003</f>
        <v>4003</v>
      </c>
      <c r="V81" s="30">
        <f>2179940950</f>
        <v>2179940950</v>
      </c>
      <c r="W81" s="30">
        <f>155156770</f>
        <v>155156770</v>
      </c>
      <c r="X81" s="34">
        <f>19</f>
        <v>19</v>
      </c>
    </row>
    <row r="82" spans="1:24" x14ac:dyDescent="0.15">
      <c r="A82" s="25" t="s">
        <v>817</v>
      </c>
      <c r="B82" s="25" t="s">
        <v>276</v>
      </c>
      <c r="C82" s="25" t="s">
        <v>277</v>
      </c>
      <c r="D82" s="25" t="s">
        <v>278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7400</f>
        <v>7400</v>
      </c>
      <c r="L82" s="32" t="s">
        <v>80</v>
      </c>
      <c r="M82" s="31">
        <f>7699</f>
        <v>7699</v>
      </c>
      <c r="N82" s="32" t="s">
        <v>820</v>
      </c>
      <c r="O82" s="31">
        <f>7280</f>
        <v>7280</v>
      </c>
      <c r="P82" s="32" t="s">
        <v>70</v>
      </c>
      <c r="Q82" s="31">
        <f>7690</f>
        <v>7690</v>
      </c>
      <c r="R82" s="32" t="s">
        <v>818</v>
      </c>
      <c r="S82" s="33">
        <f>7481.1</f>
        <v>7481.1</v>
      </c>
      <c r="T82" s="30">
        <f>480</f>
        <v>480</v>
      </c>
      <c r="U82" s="30" t="str">
        <f>"－"</f>
        <v>－</v>
      </c>
      <c r="V82" s="30">
        <f>3614330</f>
        <v>3614330</v>
      </c>
      <c r="W82" s="30" t="str">
        <f>"－"</f>
        <v>－</v>
      </c>
      <c r="X82" s="34">
        <f>10</f>
        <v>10</v>
      </c>
    </row>
    <row r="83" spans="1:24" x14ac:dyDescent="0.15">
      <c r="A83" s="25" t="s">
        <v>817</v>
      </c>
      <c r="B83" s="25" t="s">
        <v>279</v>
      </c>
      <c r="C83" s="25" t="s">
        <v>280</v>
      </c>
      <c r="D83" s="25" t="s">
        <v>281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17000</f>
        <v>17000</v>
      </c>
      <c r="L83" s="32" t="s">
        <v>811</v>
      </c>
      <c r="M83" s="31">
        <f>17000</f>
        <v>17000</v>
      </c>
      <c r="N83" s="32" t="s">
        <v>811</v>
      </c>
      <c r="O83" s="31">
        <f>14825</f>
        <v>14825</v>
      </c>
      <c r="P83" s="32" t="s">
        <v>266</v>
      </c>
      <c r="Q83" s="31">
        <f>15180</f>
        <v>15180</v>
      </c>
      <c r="R83" s="32" t="s">
        <v>818</v>
      </c>
      <c r="S83" s="33">
        <f>15801.58</f>
        <v>15801.58</v>
      </c>
      <c r="T83" s="30">
        <f>1302</f>
        <v>1302</v>
      </c>
      <c r="U83" s="30" t="str">
        <f>"－"</f>
        <v>－</v>
      </c>
      <c r="V83" s="30">
        <f>20461325</f>
        <v>20461325</v>
      </c>
      <c r="W83" s="30" t="str">
        <f>"－"</f>
        <v>－</v>
      </c>
      <c r="X83" s="34">
        <f>19</f>
        <v>19</v>
      </c>
    </row>
    <row r="84" spans="1:24" x14ac:dyDescent="0.15">
      <c r="A84" s="25" t="s">
        <v>817</v>
      </c>
      <c r="B84" s="25" t="s">
        <v>282</v>
      </c>
      <c r="C84" s="25" t="s">
        <v>283</v>
      </c>
      <c r="D84" s="25" t="s">
        <v>284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16265</f>
        <v>16265</v>
      </c>
      <c r="L84" s="32" t="s">
        <v>811</v>
      </c>
      <c r="M84" s="31">
        <f>16645</f>
        <v>16645</v>
      </c>
      <c r="N84" s="32" t="s">
        <v>811</v>
      </c>
      <c r="O84" s="31">
        <f>14555</f>
        <v>14555</v>
      </c>
      <c r="P84" s="32" t="s">
        <v>266</v>
      </c>
      <c r="Q84" s="31">
        <f>15165</f>
        <v>15165</v>
      </c>
      <c r="R84" s="32" t="s">
        <v>818</v>
      </c>
      <c r="S84" s="33">
        <f>15632.89</f>
        <v>15632.89</v>
      </c>
      <c r="T84" s="30">
        <f>1403</f>
        <v>1403</v>
      </c>
      <c r="U84" s="30" t="str">
        <f>"－"</f>
        <v>－</v>
      </c>
      <c r="V84" s="30">
        <f>22512775</f>
        <v>22512775</v>
      </c>
      <c r="W84" s="30" t="str">
        <f>"－"</f>
        <v>－</v>
      </c>
      <c r="X84" s="34">
        <f>19</f>
        <v>19</v>
      </c>
    </row>
    <row r="85" spans="1:24" x14ac:dyDescent="0.15">
      <c r="A85" s="25" t="s">
        <v>817</v>
      </c>
      <c r="B85" s="25" t="s">
        <v>285</v>
      </c>
      <c r="C85" s="25" t="s">
        <v>286</v>
      </c>
      <c r="D85" s="25" t="s">
        <v>287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18900</f>
        <v>18900</v>
      </c>
      <c r="L85" s="32" t="s">
        <v>811</v>
      </c>
      <c r="M85" s="31">
        <f>19810</f>
        <v>19810</v>
      </c>
      <c r="N85" s="32" t="s">
        <v>814</v>
      </c>
      <c r="O85" s="31">
        <f>18770</f>
        <v>18770</v>
      </c>
      <c r="P85" s="32" t="s">
        <v>266</v>
      </c>
      <c r="Q85" s="31">
        <f>19160</f>
        <v>19160</v>
      </c>
      <c r="R85" s="32" t="s">
        <v>818</v>
      </c>
      <c r="S85" s="33">
        <f>19281.32</f>
        <v>19281.32</v>
      </c>
      <c r="T85" s="30">
        <f>8233</f>
        <v>8233</v>
      </c>
      <c r="U85" s="30" t="str">
        <f>"－"</f>
        <v>－</v>
      </c>
      <c r="V85" s="30">
        <f>159272020</f>
        <v>159272020</v>
      </c>
      <c r="W85" s="30" t="str">
        <f>"－"</f>
        <v>－</v>
      </c>
      <c r="X85" s="34">
        <f>19</f>
        <v>19</v>
      </c>
    </row>
    <row r="86" spans="1:24" x14ac:dyDescent="0.15">
      <c r="A86" s="25" t="s">
        <v>817</v>
      </c>
      <c r="B86" s="25" t="s">
        <v>288</v>
      </c>
      <c r="C86" s="25" t="s">
        <v>289</v>
      </c>
      <c r="D86" s="25" t="s">
        <v>290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10590</f>
        <v>10590</v>
      </c>
      <c r="L86" s="32" t="s">
        <v>811</v>
      </c>
      <c r="M86" s="31">
        <f>10590</f>
        <v>10590</v>
      </c>
      <c r="N86" s="32" t="s">
        <v>811</v>
      </c>
      <c r="O86" s="31">
        <f>10000</f>
        <v>10000</v>
      </c>
      <c r="P86" s="32" t="s">
        <v>818</v>
      </c>
      <c r="Q86" s="31">
        <f>10000</f>
        <v>10000</v>
      </c>
      <c r="R86" s="32" t="s">
        <v>818</v>
      </c>
      <c r="S86" s="33">
        <f>10313.68</f>
        <v>10313.68</v>
      </c>
      <c r="T86" s="30">
        <f>8490</f>
        <v>8490</v>
      </c>
      <c r="U86" s="30">
        <f>30</f>
        <v>30</v>
      </c>
      <c r="V86" s="30">
        <f>87307800</f>
        <v>87307800</v>
      </c>
      <c r="W86" s="30">
        <f>303600</f>
        <v>303600</v>
      </c>
      <c r="X86" s="34">
        <f>19</f>
        <v>19</v>
      </c>
    </row>
    <row r="87" spans="1:24" x14ac:dyDescent="0.15">
      <c r="A87" s="25" t="s">
        <v>817</v>
      </c>
      <c r="B87" s="25" t="s">
        <v>291</v>
      </c>
      <c r="C87" s="25" t="s">
        <v>292</v>
      </c>
      <c r="D87" s="25" t="s">
        <v>293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2564</f>
        <v>2564</v>
      </c>
      <c r="L87" s="32" t="s">
        <v>811</v>
      </c>
      <c r="M87" s="31">
        <f>2564</f>
        <v>2564</v>
      </c>
      <c r="N87" s="32" t="s">
        <v>811</v>
      </c>
      <c r="O87" s="31">
        <f>2456</f>
        <v>2456</v>
      </c>
      <c r="P87" s="32" t="s">
        <v>266</v>
      </c>
      <c r="Q87" s="31">
        <f>2466</f>
        <v>2466</v>
      </c>
      <c r="R87" s="32" t="s">
        <v>818</v>
      </c>
      <c r="S87" s="33">
        <f>2494.84</f>
        <v>2494.84</v>
      </c>
      <c r="T87" s="30">
        <f>381427</f>
        <v>381427</v>
      </c>
      <c r="U87" s="30">
        <f>242471</f>
        <v>242471</v>
      </c>
      <c r="V87" s="30">
        <f>953189511</f>
        <v>953189511</v>
      </c>
      <c r="W87" s="30">
        <f>607245595</f>
        <v>607245595</v>
      </c>
      <c r="X87" s="34">
        <f>19</f>
        <v>19</v>
      </c>
    </row>
    <row r="88" spans="1:24" x14ac:dyDescent="0.15">
      <c r="A88" s="25" t="s">
        <v>817</v>
      </c>
      <c r="B88" s="25" t="s">
        <v>294</v>
      </c>
      <c r="C88" s="25" t="s">
        <v>295</v>
      </c>
      <c r="D88" s="25" t="s">
        <v>296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2370</f>
        <v>2370</v>
      </c>
      <c r="L88" s="32" t="s">
        <v>811</v>
      </c>
      <c r="M88" s="31">
        <f>2370</f>
        <v>2370</v>
      </c>
      <c r="N88" s="32" t="s">
        <v>811</v>
      </c>
      <c r="O88" s="31">
        <f>2269</f>
        <v>2269</v>
      </c>
      <c r="P88" s="32" t="s">
        <v>94</v>
      </c>
      <c r="Q88" s="31">
        <f>2274</f>
        <v>2274</v>
      </c>
      <c r="R88" s="32" t="s">
        <v>818</v>
      </c>
      <c r="S88" s="33">
        <f>2312.95</f>
        <v>2312.9499999999998</v>
      </c>
      <c r="T88" s="30">
        <f>236949</f>
        <v>236949</v>
      </c>
      <c r="U88" s="30">
        <f>43000</f>
        <v>43000</v>
      </c>
      <c r="V88" s="30">
        <f>546504885</f>
        <v>546504885</v>
      </c>
      <c r="W88" s="30">
        <f>99791699</f>
        <v>99791699</v>
      </c>
      <c r="X88" s="34">
        <f>19</f>
        <v>19</v>
      </c>
    </row>
    <row r="89" spans="1:24" x14ac:dyDescent="0.15">
      <c r="A89" s="25" t="s">
        <v>817</v>
      </c>
      <c r="B89" s="25" t="s">
        <v>297</v>
      </c>
      <c r="C89" s="25" t="s">
        <v>298</v>
      </c>
      <c r="D89" s="25" t="s">
        <v>299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15745</f>
        <v>15745</v>
      </c>
      <c r="L89" s="32" t="s">
        <v>811</v>
      </c>
      <c r="M89" s="31">
        <f>16610</f>
        <v>16610</v>
      </c>
      <c r="N89" s="32" t="s">
        <v>80</v>
      </c>
      <c r="O89" s="31">
        <f>14000</f>
        <v>14000</v>
      </c>
      <c r="P89" s="32" t="s">
        <v>266</v>
      </c>
      <c r="Q89" s="31">
        <f>14470</f>
        <v>14470</v>
      </c>
      <c r="R89" s="32" t="s">
        <v>818</v>
      </c>
      <c r="S89" s="33">
        <f>14991.84</f>
        <v>14991.84</v>
      </c>
      <c r="T89" s="30">
        <f>11486</f>
        <v>11486</v>
      </c>
      <c r="U89" s="30">
        <f>1713</f>
        <v>1713</v>
      </c>
      <c r="V89" s="30">
        <f>174491988</f>
        <v>174491988</v>
      </c>
      <c r="W89" s="30">
        <f>24982903</f>
        <v>24982903</v>
      </c>
      <c r="X89" s="34">
        <f>19</f>
        <v>19</v>
      </c>
    </row>
    <row r="90" spans="1:24" x14ac:dyDescent="0.15">
      <c r="A90" s="25" t="s">
        <v>817</v>
      </c>
      <c r="B90" s="25" t="s">
        <v>300</v>
      </c>
      <c r="C90" s="25" t="s">
        <v>301</v>
      </c>
      <c r="D90" s="25" t="s">
        <v>302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8335</f>
        <v>8335</v>
      </c>
      <c r="L90" s="32" t="s">
        <v>811</v>
      </c>
      <c r="M90" s="31">
        <f>9718</f>
        <v>9718</v>
      </c>
      <c r="N90" s="32" t="s">
        <v>87</v>
      </c>
      <c r="O90" s="31">
        <f>8100</f>
        <v>8100</v>
      </c>
      <c r="P90" s="32" t="s">
        <v>70</v>
      </c>
      <c r="Q90" s="31">
        <f>8617</f>
        <v>8617</v>
      </c>
      <c r="R90" s="32" t="s">
        <v>818</v>
      </c>
      <c r="S90" s="33">
        <f>8479.68</f>
        <v>8479.68</v>
      </c>
      <c r="T90" s="30">
        <f>7165</f>
        <v>7165</v>
      </c>
      <c r="U90" s="30" t="str">
        <f>"－"</f>
        <v>－</v>
      </c>
      <c r="V90" s="30">
        <f>63658757</f>
        <v>63658757</v>
      </c>
      <c r="W90" s="30" t="str">
        <f>"－"</f>
        <v>－</v>
      </c>
      <c r="X90" s="34">
        <f>19</f>
        <v>19</v>
      </c>
    </row>
    <row r="91" spans="1:24" x14ac:dyDescent="0.15">
      <c r="A91" s="25" t="s">
        <v>817</v>
      </c>
      <c r="B91" s="25" t="s">
        <v>303</v>
      </c>
      <c r="C91" s="25" t="s">
        <v>304</v>
      </c>
      <c r="D91" s="25" t="s">
        <v>305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6377</f>
        <v>6377</v>
      </c>
      <c r="L91" s="32" t="s">
        <v>811</v>
      </c>
      <c r="M91" s="31">
        <f>6470</f>
        <v>6470</v>
      </c>
      <c r="N91" s="32" t="s">
        <v>810</v>
      </c>
      <c r="O91" s="31">
        <f>6321</f>
        <v>6321</v>
      </c>
      <c r="P91" s="32" t="s">
        <v>818</v>
      </c>
      <c r="Q91" s="31">
        <f>6326</f>
        <v>6326</v>
      </c>
      <c r="R91" s="32" t="s">
        <v>818</v>
      </c>
      <c r="S91" s="33">
        <f>6396.68</f>
        <v>6396.68</v>
      </c>
      <c r="T91" s="30">
        <f>1407749</f>
        <v>1407749</v>
      </c>
      <c r="U91" s="30">
        <f>55599</f>
        <v>55599</v>
      </c>
      <c r="V91" s="30">
        <f>9017132429</f>
        <v>9017132429</v>
      </c>
      <c r="W91" s="30">
        <f>355491656</f>
        <v>355491656</v>
      </c>
      <c r="X91" s="34">
        <f>19</f>
        <v>19</v>
      </c>
    </row>
    <row r="92" spans="1:24" x14ac:dyDescent="0.15">
      <c r="A92" s="25" t="s">
        <v>817</v>
      </c>
      <c r="B92" s="25" t="s">
        <v>306</v>
      </c>
      <c r="C92" s="25" t="s">
        <v>307</v>
      </c>
      <c r="D92" s="25" t="s">
        <v>308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3340</f>
        <v>3340</v>
      </c>
      <c r="L92" s="32" t="s">
        <v>811</v>
      </c>
      <c r="M92" s="31">
        <f>3580</f>
        <v>3580</v>
      </c>
      <c r="N92" s="32" t="s">
        <v>266</v>
      </c>
      <c r="O92" s="31">
        <f>3300</f>
        <v>3300</v>
      </c>
      <c r="P92" s="32" t="s">
        <v>821</v>
      </c>
      <c r="Q92" s="31">
        <f>3500</f>
        <v>3500</v>
      </c>
      <c r="R92" s="32" t="s">
        <v>818</v>
      </c>
      <c r="S92" s="33">
        <f>3431.58</f>
        <v>3431.58</v>
      </c>
      <c r="T92" s="30">
        <f>565759</f>
        <v>565759</v>
      </c>
      <c r="U92" s="30">
        <f>1</f>
        <v>1</v>
      </c>
      <c r="V92" s="30">
        <f>1957066085</f>
        <v>1957066085</v>
      </c>
      <c r="W92" s="30">
        <f>3525</f>
        <v>3525</v>
      </c>
      <c r="X92" s="34">
        <f>19</f>
        <v>19</v>
      </c>
    </row>
    <row r="93" spans="1:24" x14ac:dyDescent="0.15">
      <c r="A93" s="25" t="s">
        <v>817</v>
      </c>
      <c r="B93" s="25" t="s">
        <v>309</v>
      </c>
      <c r="C93" s="25" t="s">
        <v>310</v>
      </c>
      <c r="D93" s="25" t="s">
        <v>311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7969</f>
        <v>7969</v>
      </c>
      <c r="L93" s="32" t="s">
        <v>811</v>
      </c>
      <c r="M93" s="31">
        <f>8395</f>
        <v>8395</v>
      </c>
      <c r="N93" s="32" t="s">
        <v>66</v>
      </c>
      <c r="O93" s="31">
        <f>7678</f>
        <v>7678</v>
      </c>
      <c r="P93" s="32" t="s">
        <v>818</v>
      </c>
      <c r="Q93" s="31">
        <f>7732</f>
        <v>7732</v>
      </c>
      <c r="R93" s="32" t="s">
        <v>818</v>
      </c>
      <c r="S93" s="33">
        <f>8006.68</f>
        <v>8006.68</v>
      </c>
      <c r="T93" s="30">
        <f>194684</f>
        <v>194684</v>
      </c>
      <c r="U93" s="30" t="str">
        <f>"－"</f>
        <v>－</v>
      </c>
      <c r="V93" s="30">
        <f>1551348726</f>
        <v>1551348726</v>
      </c>
      <c r="W93" s="30" t="str">
        <f>"－"</f>
        <v>－</v>
      </c>
      <c r="X93" s="34">
        <f>19</f>
        <v>19</v>
      </c>
    </row>
    <row r="94" spans="1:24" x14ac:dyDescent="0.15">
      <c r="A94" s="25" t="s">
        <v>817</v>
      </c>
      <c r="B94" s="25" t="s">
        <v>312</v>
      </c>
      <c r="C94" s="25" t="s">
        <v>313</v>
      </c>
      <c r="D94" s="25" t="s">
        <v>314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63090</f>
        <v>63090</v>
      </c>
      <c r="L94" s="32" t="s">
        <v>811</v>
      </c>
      <c r="M94" s="31">
        <f>80520</f>
        <v>80520</v>
      </c>
      <c r="N94" s="32" t="s">
        <v>94</v>
      </c>
      <c r="O94" s="31">
        <f>62000</f>
        <v>62000</v>
      </c>
      <c r="P94" s="32" t="s">
        <v>811</v>
      </c>
      <c r="Q94" s="31">
        <f>78760</f>
        <v>78760</v>
      </c>
      <c r="R94" s="32" t="s">
        <v>818</v>
      </c>
      <c r="S94" s="33">
        <f>68166.32</f>
        <v>68166.320000000007</v>
      </c>
      <c r="T94" s="30">
        <f>10023</f>
        <v>10023</v>
      </c>
      <c r="U94" s="30">
        <f>4</f>
        <v>4</v>
      </c>
      <c r="V94" s="30">
        <f>736830790</f>
        <v>736830790</v>
      </c>
      <c r="W94" s="30">
        <f>315720</f>
        <v>315720</v>
      </c>
      <c r="X94" s="34">
        <f>19</f>
        <v>19</v>
      </c>
    </row>
    <row r="95" spans="1:24" x14ac:dyDescent="0.15">
      <c r="A95" s="25" t="s">
        <v>817</v>
      </c>
      <c r="B95" s="25" t="s">
        <v>315</v>
      </c>
      <c r="C95" s="25" t="s">
        <v>316</v>
      </c>
      <c r="D95" s="25" t="s">
        <v>317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19275</f>
        <v>19275</v>
      </c>
      <c r="L95" s="32" t="s">
        <v>811</v>
      </c>
      <c r="M95" s="31">
        <f>19400</f>
        <v>19400</v>
      </c>
      <c r="N95" s="32" t="s">
        <v>811</v>
      </c>
      <c r="O95" s="31">
        <f>16100</f>
        <v>16100</v>
      </c>
      <c r="P95" s="32" t="s">
        <v>266</v>
      </c>
      <c r="Q95" s="31">
        <f>16980</f>
        <v>16980</v>
      </c>
      <c r="R95" s="32" t="s">
        <v>818</v>
      </c>
      <c r="S95" s="33">
        <f>17675.53</f>
        <v>17675.53</v>
      </c>
      <c r="T95" s="30">
        <f>3461605</f>
        <v>3461605</v>
      </c>
      <c r="U95" s="30">
        <f>200880</f>
        <v>200880</v>
      </c>
      <c r="V95" s="30">
        <f>60322266087</f>
        <v>60322266087</v>
      </c>
      <c r="W95" s="30">
        <f>3522381807</f>
        <v>3522381807</v>
      </c>
      <c r="X95" s="34">
        <f>19</f>
        <v>19</v>
      </c>
    </row>
    <row r="96" spans="1:24" x14ac:dyDescent="0.15">
      <c r="A96" s="25" t="s">
        <v>817</v>
      </c>
      <c r="B96" s="25" t="s">
        <v>318</v>
      </c>
      <c r="C96" s="25" t="s">
        <v>319</v>
      </c>
      <c r="D96" s="25" t="s">
        <v>320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</v>
      </c>
      <c r="K96" s="31">
        <f>41240</f>
        <v>41240</v>
      </c>
      <c r="L96" s="32" t="s">
        <v>811</v>
      </c>
      <c r="M96" s="31">
        <f>41730</f>
        <v>41730</v>
      </c>
      <c r="N96" s="32" t="s">
        <v>810</v>
      </c>
      <c r="O96" s="31">
        <f>37730</f>
        <v>37730</v>
      </c>
      <c r="P96" s="32" t="s">
        <v>266</v>
      </c>
      <c r="Q96" s="31">
        <f>39270</f>
        <v>39270</v>
      </c>
      <c r="R96" s="32" t="s">
        <v>818</v>
      </c>
      <c r="S96" s="33">
        <f>39779.47</f>
        <v>39779.47</v>
      </c>
      <c r="T96" s="30">
        <f>319659</f>
        <v>319659</v>
      </c>
      <c r="U96" s="30">
        <f>42103</f>
        <v>42103</v>
      </c>
      <c r="V96" s="30">
        <f>12672804930</f>
        <v>12672804930</v>
      </c>
      <c r="W96" s="30">
        <f>1662349800</f>
        <v>1662349800</v>
      </c>
      <c r="X96" s="34">
        <f>19</f>
        <v>19</v>
      </c>
    </row>
    <row r="97" spans="1:24" x14ac:dyDescent="0.15">
      <c r="A97" s="25" t="s">
        <v>817</v>
      </c>
      <c r="B97" s="25" t="s">
        <v>321</v>
      </c>
      <c r="C97" s="25" t="s">
        <v>322</v>
      </c>
      <c r="D97" s="25" t="s">
        <v>323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6032</f>
        <v>6032</v>
      </c>
      <c r="L97" s="32" t="s">
        <v>811</v>
      </c>
      <c r="M97" s="31">
        <f>6079</f>
        <v>6079</v>
      </c>
      <c r="N97" s="32" t="s">
        <v>810</v>
      </c>
      <c r="O97" s="31">
        <f>5310</f>
        <v>5310</v>
      </c>
      <c r="P97" s="32" t="s">
        <v>266</v>
      </c>
      <c r="Q97" s="31">
        <f>5561</f>
        <v>5561</v>
      </c>
      <c r="R97" s="32" t="s">
        <v>818</v>
      </c>
      <c r="S97" s="33">
        <f>5714.05</f>
        <v>5714.05</v>
      </c>
      <c r="T97" s="30">
        <f>2618820</f>
        <v>2618820</v>
      </c>
      <c r="U97" s="30">
        <f>187180</f>
        <v>187180</v>
      </c>
      <c r="V97" s="30">
        <f>14893587539</f>
        <v>14893587539</v>
      </c>
      <c r="W97" s="30">
        <f>1064771479</f>
        <v>1064771479</v>
      </c>
      <c r="X97" s="34">
        <f>19</f>
        <v>19</v>
      </c>
    </row>
    <row r="98" spans="1:24" x14ac:dyDescent="0.15">
      <c r="A98" s="25" t="s">
        <v>817</v>
      </c>
      <c r="B98" s="25" t="s">
        <v>324</v>
      </c>
      <c r="C98" s="25" t="s">
        <v>325</v>
      </c>
      <c r="D98" s="25" t="s">
        <v>326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3845</f>
        <v>3845</v>
      </c>
      <c r="L98" s="32" t="s">
        <v>811</v>
      </c>
      <c r="M98" s="31">
        <f>3880</f>
        <v>3880</v>
      </c>
      <c r="N98" s="32" t="s">
        <v>810</v>
      </c>
      <c r="O98" s="31">
        <f>3452</f>
        <v>3452</v>
      </c>
      <c r="P98" s="32" t="s">
        <v>266</v>
      </c>
      <c r="Q98" s="31">
        <f>3609</f>
        <v>3609</v>
      </c>
      <c r="R98" s="32" t="s">
        <v>818</v>
      </c>
      <c r="S98" s="33">
        <f>3682.68</f>
        <v>3682.68</v>
      </c>
      <c r="T98" s="30">
        <f>143710</f>
        <v>143710</v>
      </c>
      <c r="U98" s="30">
        <f>50</f>
        <v>50</v>
      </c>
      <c r="V98" s="30">
        <f>526586840</f>
        <v>526586840</v>
      </c>
      <c r="W98" s="30">
        <f>190550</f>
        <v>190550</v>
      </c>
      <c r="X98" s="34">
        <f>19</f>
        <v>19</v>
      </c>
    </row>
    <row r="99" spans="1:24" x14ac:dyDescent="0.15">
      <c r="A99" s="25" t="s">
        <v>817</v>
      </c>
      <c r="B99" s="25" t="s">
        <v>327</v>
      </c>
      <c r="C99" s="25" t="s">
        <v>328</v>
      </c>
      <c r="D99" s="25" t="s">
        <v>329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5521</f>
        <v>5521</v>
      </c>
      <c r="L99" s="32" t="s">
        <v>811</v>
      </c>
      <c r="M99" s="31">
        <f>5642</f>
        <v>5642</v>
      </c>
      <c r="N99" s="32" t="s">
        <v>811</v>
      </c>
      <c r="O99" s="31">
        <f>4453</f>
        <v>4453</v>
      </c>
      <c r="P99" s="32" t="s">
        <v>266</v>
      </c>
      <c r="Q99" s="31">
        <f>4639</f>
        <v>4639</v>
      </c>
      <c r="R99" s="32" t="s">
        <v>818</v>
      </c>
      <c r="S99" s="33">
        <f>4946.68</f>
        <v>4946.68</v>
      </c>
      <c r="T99" s="30">
        <f>21110</f>
        <v>21110</v>
      </c>
      <c r="U99" s="30">
        <f>10</f>
        <v>10</v>
      </c>
      <c r="V99" s="30">
        <f>104042710</f>
        <v>104042710</v>
      </c>
      <c r="W99" s="30">
        <f>49690</f>
        <v>49690</v>
      </c>
      <c r="X99" s="34">
        <f>19</f>
        <v>19</v>
      </c>
    </row>
    <row r="100" spans="1:24" x14ac:dyDescent="0.15">
      <c r="A100" s="25" t="s">
        <v>817</v>
      </c>
      <c r="B100" s="25" t="s">
        <v>330</v>
      </c>
      <c r="C100" s="25" t="s">
        <v>331</v>
      </c>
      <c r="D100" s="25" t="s">
        <v>332</v>
      </c>
      <c r="E100" s="26" t="s">
        <v>45</v>
      </c>
      <c r="F100" s="27" t="s">
        <v>45</v>
      </c>
      <c r="G100" s="28" t="s">
        <v>45</v>
      </c>
      <c r="H100" s="29" t="s">
        <v>333</v>
      </c>
      <c r="I100" s="29" t="s">
        <v>46</v>
      </c>
      <c r="J100" s="30">
        <v>1</v>
      </c>
      <c r="K100" s="31">
        <f>1677</f>
        <v>1677</v>
      </c>
      <c r="L100" s="32" t="s">
        <v>811</v>
      </c>
      <c r="M100" s="31">
        <f>2380</f>
        <v>2380</v>
      </c>
      <c r="N100" s="32" t="s">
        <v>266</v>
      </c>
      <c r="O100" s="31">
        <f>1632</f>
        <v>1632</v>
      </c>
      <c r="P100" s="32" t="s">
        <v>56</v>
      </c>
      <c r="Q100" s="31">
        <f>2101</f>
        <v>2101</v>
      </c>
      <c r="R100" s="32" t="s">
        <v>818</v>
      </c>
      <c r="S100" s="33">
        <f>1891.95</f>
        <v>1891.95</v>
      </c>
      <c r="T100" s="30">
        <f>38965905</f>
        <v>38965905</v>
      </c>
      <c r="U100" s="30">
        <f>60136</f>
        <v>60136</v>
      </c>
      <c r="V100" s="30">
        <f>76438741664</f>
        <v>76438741664</v>
      </c>
      <c r="W100" s="30">
        <f>133279783</f>
        <v>133279783</v>
      </c>
      <c r="X100" s="34">
        <f>19</f>
        <v>19</v>
      </c>
    </row>
    <row r="101" spans="1:24" x14ac:dyDescent="0.15">
      <c r="A101" s="25" t="s">
        <v>817</v>
      </c>
      <c r="B101" s="25" t="s">
        <v>334</v>
      </c>
      <c r="C101" s="25" t="s">
        <v>335</v>
      </c>
      <c r="D101" s="25" t="s">
        <v>336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3287</f>
        <v>3287</v>
      </c>
      <c r="L101" s="32" t="s">
        <v>811</v>
      </c>
      <c r="M101" s="31">
        <f>3310</f>
        <v>3310</v>
      </c>
      <c r="N101" s="32" t="s">
        <v>810</v>
      </c>
      <c r="O101" s="31">
        <f>2940.5</f>
        <v>2940.5</v>
      </c>
      <c r="P101" s="32" t="s">
        <v>266</v>
      </c>
      <c r="Q101" s="31">
        <f>3065</f>
        <v>3065</v>
      </c>
      <c r="R101" s="32" t="s">
        <v>818</v>
      </c>
      <c r="S101" s="33">
        <f>3142.74</f>
        <v>3142.74</v>
      </c>
      <c r="T101" s="30">
        <f>230610</f>
        <v>230610</v>
      </c>
      <c r="U101" s="30" t="str">
        <f>"－"</f>
        <v>－</v>
      </c>
      <c r="V101" s="30">
        <f>727896770</f>
        <v>727896770</v>
      </c>
      <c r="W101" s="30" t="str">
        <f>"－"</f>
        <v>－</v>
      </c>
      <c r="X101" s="34">
        <f>19</f>
        <v>19</v>
      </c>
    </row>
    <row r="102" spans="1:24" x14ac:dyDescent="0.15">
      <c r="A102" s="25" t="s">
        <v>817</v>
      </c>
      <c r="B102" s="25" t="s">
        <v>337</v>
      </c>
      <c r="C102" s="25" t="s">
        <v>338</v>
      </c>
      <c r="D102" s="25" t="s">
        <v>339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1958</f>
        <v>1958</v>
      </c>
      <c r="L102" s="32" t="s">
        <v>811</v>
      </c>
      <c r="M102" s="31">
        <f>1990</f>
        <v>1990</v>
      </c>
      <c r="N102" s="32" t="s">
        <v>810</v>
      </c>
      <c r="O102" s="31">
        <f>1620.5</f>
        <v>1620.5</v>
      </c>
      <c r="P102" s="32" t="s">
        <v>266</v>
      </c>
      <c r="Q102" s="31">
        <f>1707</f>
        <v>1707</v>
      </c>
      <c r="R102" s="32" t="s">
        <v>818</v>
      </c>
      <c r="S102" s="33">
        <f>1804.26</f>
        <v>1804.26</v>
      </c>
      <c r="T102" s="30">
        <f>162700</f>
        <v>162700</v>
      </c>
      <c r="U102" s="30">
        <f>140</f>
        <v>140</v>
      </c>
      <c r="V102" s="30">
        <f>291268825</f>
        <v>291268825</v>
      </c>
      <c r="W102" s="30">
        <f>237700</f>
        <v>237700</v>
      </c>
      <c r="X102" s="34">
        <f>19</f>
        <v>19</v>
      </c>
    </row>
    <row r="103" spans="1:24" x14ac:dyDescent="0.15">
      <c r="A103" s="25" t="s">
        <v>817</v>
      </c>
      <c r="B103" s="25" t="s">
        <v>340</v>
      </c>
      <c r="C103" s="25" t="s">
        <v>341</v>
      </c>
      <c r="D103" s="25" t="s">
        <v>342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55080</f>
        <v>55080</v>
      </c>
      <c r="L103" s="32" t="s">
        <v>811</v>
      </c>
      <c r="M103" s="31">
        <f>55460</f>
        <v>55460</v>
      </c>
      <c r="N103" s="32" t="s">
        <v>811</v>
      </c>
      <c r="O103" s="31">
        <f>48840</f>
        <v>48840</v>
      </c>
      <c r="P103" s="32" t="s">
        <v>266</v>
      </c>
      <c r="Q103" s="31">
        <f>51150</f>
        <v>51150</v>
      </c>
      <c r="R103" s="32" t="s">
        <v>818</v>
      </c>
      <c r="S103" s="33">
        <f>52331.58</f>
        <v>52331.58</v>
      </c>
      <c r="T103" s="30">
        <f>291086</f>
        <v>291086</v>
      </c>
      <c r="U103" s="30">
        <f>18005</f>
        <v>18005</v>
      </c>
      <c r="V103" s="30">
        <f>14988265220</f>
        <v>14988265220</v>
      </c>
      <c r="W103" s="30">
        <f>996407020</f>
        <v>996407020</v>
      </c>
      <c r="X103" s="34">
        <f>19</f>
        <v>19</v>
      </c>
    </row>
    <row r="104" spans="1:24" x14ac:dyDescent="0.15">
      <c r="A104" s="25" t="s">
        <v>817</v>
      </c>
      <c r="B104" s="25" t="s">
        <v>343</v>
      </c>
      <c r="C104" s="25" t="s">
        <v>344</v>
      </c>
      <c r="D104" s="25" t="s">
        <v>345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3035</f>
        <v>3035</v>
      </c>
      <c r="L104" s="32" t="s">
        <v>811</v>
      </c>
      <c r="M104" s="31">
        <f>3175</f>
        <v>3175</v>
      </c>
      <c r="N104" s="32" t="s">
        <v>810</v>
      </c>
      <c r="O104" s="31">
        <f>3005</f>
        <v>3005</v>
      </c>
      <c r="P104" s="32" t="s">
        <v>266</v>
      </c>
      <c r="Q104" s="31">
        <f>3030</f>
        <v>3030</v>
      </c>
      <c r="R104" s="32" t="s">
        <v>818</v>
      </c>
      <c r="S104" s="33">
        <f>3105</f>
        <v>3105</v>
      </c>
      <c r="T104" s="30">
        <f>6247</f>
        <v>6247</v>
      </c>
      <c r="U104" s="30" t="str">
        <f>"－"</f>
        <v>－</v>
      </c>
      <c r="V104" s="30">
        <f>19454435</f>
        <v>19454435</v>
      </c>
      <c r="W104" s="30" t="str">
        <f>"－"</f>
        <v>－</v>
      </c>
      <c r="X104" s="34">
        <f>19</f>
        <v>19</v>
      </c>
    </row>
    <row r="105" spans="1:24" x14ac:dyDescent="0.15">
      <c r="A105" s="25" t="s">
        <v>817</v>
      </c>
      <c r="B105" s="25" t="s">
        <v>346</v>
      </c>
      <c r="C105" s="25" t="s">
        <v>347</v>
      </c>
      <c r="D105" s="25" t="s">
        <v>348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4090</f>
        <v>4090</v>
      </c>
      <c r="L105" s="32" t="s">
        <v>811</v>
      </c>
      <c r="M105" s="31">
        <f>4245</f>
        <v>4245</v>
      </c>
      <c r="N105" s="32" t="s">
        <v>56</v>
      </c>
      <c r="O105" s="31">
        <f>3940</f>
        <v>3940</v>
      </c>
      <c r="P105" s="32" t="s">
        <v>815</v>
      </c>
      <c r="Q105" s="31">
        <f>4045</f>
        <v>4045</v>
      </c>
      <c r="R105" s="32" t="s">
        <v>818</v>
      </c>
      <c r="S105" s="33">
        <f>4071.84</f>
        <v>4071.84</v>
      </c>
      <c r="T105" s="30">
        <f>4665</f>
        <v>4665</v>
      </c>
      <c r="U105" s="30" t="str">
        <f>"－"</f>
        <v>－</v>
      </c>
      <c r="V105" s="30">
        <f>19111980</f>
        <v>19111980</v>
      </c>
      <c r="W105" s="30" t="str">
        <f>"－"</f>
        <v>－</v>
      </c>
      <c r="X105" s="34">
        <f>19</f>
        <v>19</v>
      </c>
    </row>
    <row r="106" spans="1:24" x14ac:dyDescent="0.15">
      <c r="A106" s="25" t="s">
        <v>817</v>
      </c>
      <c r="B106" s="25" t="s">
        <v>349</v>
      </c>
      <c r="C106" s="25" t="s">
        <v>350</v>
      </c>
      <c r="D106" s="25" t="s">
        <v>351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4075</f>
        <v>4075</v>
      </c>
      <c r="L106" s="32" t="s">
        <v>811</v>
      </c>
      <c r="M106" s="31">
        <f>4080</f>
        <v>4080</v>
      </c>
      <c r="N106" s="32" t="s">
        <v>811</v>
      </c>
      <c r="O106" s="31">
        <f>2565</f>
        <v>2565</v>
      </c>
      <c r="P106" s="32" t="s">
        <v>94</v>
      </c>
      <c r="Q106" s="31">
        <f>2723</f>
        <v>2723</v>
      </c>
      <c r="R106" s="32" t="s">
        <v>818</v>
      </c>
      <c r="S106" s="33">
        <f>3188.16</f>
        <v>3188.16</v>
      </c>
      <c r="T106" s="30">
        <f>719627</f>
        <v>719627</v>
      </c>
      <c r="U106" s="30">
        <f>16</f>
        <v>16</v>
      </c>
      <c r="V106" s="30">
        <f>2190127632</f>
        <v>2190127632</v>
      </c>
      <c r="W106" s="30">
        <f>46216</f>
        <v>46216</v>
      </c>
      <c r="X106" s="34">
        <f>19</f>
        <v>19</v>
      </c>
    </row>
    <row r="107" spans="1:24" x14ac:dyDescent="0.15">
      <c r="A107" s="25" t="s">
        <v>817</v>
      </c>
      <c r="B107" s="25" t="s">
        <v>352</v>
      </c>
      <c r="C107" s="25" t="s">
        <v>353</v>
      </c>
      <c r="D107" s="25" t="s">
        <v>354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43440</f>
        <v>43440</v>
      </c>
      <c r="L107" s="32" t="s">
        <v>811</v>
      </c>
      <c r="M107" s="31">
        <f>43650</f>
        <v>43650</v>
      </c>
      <c r="N107" s="32" t="s">
        <v>810</v>
      </c>
      <c r="O107" s="31">
        <f>42640</f>
        <v>42640</v>
      </c>
      <c r="P107" s="32" t="s">
        <v>815</v>
      </c>
      <c r="Q107" s="31">
        <f>42980</f>
        <v>42980</v>
      </c>
      <c r="R107" s="32" t="s">
        <v>818</v>
      </c>
      <c r="S107" s="33">
        <f>43017.37</f>
        <v>43017.37</v>
      </c>
      <c r="T107" s="30">
        <f>19047</f>
        <v>19047</v>
      </c>
      <c r="U107" s="30">
        <f>601</f>
        <v>601</v>
      </c>
      <c r="V107" s="30">
        <f>821938822</f>
        <v>821938822</v>
      </c>
      <c r="W107" s="30">
        <f>25776332</f>
        <v>25776332</v>
      </c>
      <c r="X107" s="34">
        <f>19</f>
        <v>19</v>
      </c>
    </row>
    <row r="108" spans="1:24" x14ac:dyDescent="0.15">
      <c r="A108" s="25" t="s">
        <v>817</v>
      </c>
      <c r="B108" s="25" t="s">
        <v>355</v>
      </c>
      <c r="C108" s="25" t="s">
        <v>356</v>
      </c>
      <c r="D108" s="25" t="s">
        <v>357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25650</f>
        <v>25650</v>
      </c>
      <c r="L108" s="32" t="s">
        <v>811</v>
      </c>
      <c r="M108" s="31">
        <f>26400</f>
        <v>26400</v>
      </c>
      <c r="N108" s="32" t="s">
        <v>810</v>
      </c>
      <c r="O108" s="31">
        <f>21205</f>
        <v>21205</v>
      </c>
      <c r="P108" s="32" t="s">
        <v>266</v>
      </c>
      <c r="Q108" s="31">
        <f>22670</f>
        <v>22670</v>
      </c>
      <c r="R108" s="32" t="s">
        <v>818</v>
      </c>
      <c r="S108" s="33">
        <f>24136.05</f>
        <v>24136.05</v>
      </c>
      <c r="T108" s="30">
        <f>2218450</f>
        <v>2218450</v>
      </c>
      <c r="U108" s="30">
        <f>17150</f>
        <v>17150</v>
      </c>
      <c r="V108" s="30">
        <f>53013874632</f>
        <v>53013874632</v>
      </c>
      <c r="W108" s="30">
        <f>421849082</f>
        <v>421849082</v>
      </c>
      <c r="X108" s="34">
        <f>19</f>
        <v>19</v>
      </c>
    </row>
    <row r="109" spans="1:24" x14ac:dyDescent="0.15">
      <c r="A109" s="25" t="s">
        <v>817</v>
      </c>
      <c r="B109" s="25" t="s">
        <v>358</v>
      </c>
      <c r="C109" s="25" t="s">
        <v>359</v>
      </c>
      <c r="D109" s="25" t="s">
        <v>360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2088.5</f>
        <v>2088.5</v>
      </c>
      <c r="L109" s="32" t="s">
        <v>811</v>
      </c>
      <c r="M109" s="31">
        <f>2285</f>
        <v>2285</v>
      </c>
      <c r="N109" s="32" t="s">
        <v>266</v>
      </c>
      <c r="O109" s="31">
        <f>2061</f>
        <v>2061</v>
      </c>
      <c r="P109" s="32" t="s">
        <v>810</v>
      </c>
      <c r="Q109" s="31">
        <f>2212</f>
        <v>2212</v>
      </c>
      <c r="R109" s="32" t="s">
        <v>818</v>
      </c>
      <c r="S109" s="33">
        <f>2151.21</f>
        <v>2151.21</v>
      </c>
      <c r="T109" s="30">
        <f>410610</f>
        <v>410610</v>
      </c>
      <c r="U109" s="30">
        <f>100</f>
        <v>100</v>
      </c>
      <c r="V109" s="30">
        <f>901290860</f>
        <v>901290860</v>
      </c>
      <c r="W109" s="30">
        <f>224320</f>
        <v>224320</v>
      </c>
      <c r="X109" s="34">
        <f>19</f>
        <v>19</v>
      </c>
    </row>
    <row r="110" spans="1:24" x14ac:dyDescent="0.15">
      <c r="A110" s="25" t="s">
        <v>817</v>
      </c>
      <c r="B110" s="25" t="s">
        <v>361</v>
      </c>
      <c r="C110" s="25" t="s">
        <v>362</v>
      </c>
      <c r="D110" s="25" t="s">
        <v>363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15950</f>
        <v>15950</v>
      </c>
      <c r="L110" s="32" t="s">
        <v>811</v>
      </c>
      <c r="M110" s="31">
        <f>16295</f>
        <v>16295</v>
      </c>
      <c r="N110" s="32" t="s">
        <v>810</v>
      </c>
      <c r="O110" s="31">
        <f>12735</f>
        <v>12735</v>
      </c>
      <c r="P110" s="32" t="s">
        <v>266</v>
      </c>
      <c r="Q110" s="31">
        <f>13695</f>
        <v>13695</v>
      </c>
      <c r="R110" s="32" t="s">
        <v>818</v>
      </c>
      <c r="S110" s="33">
        <f>14672.63</f>
        <v>14672.63</v>
      </c>
      <c r="T110" s="30">
        <f>213481867</f>
        <v>213481867</v>
      </c>
      <c r="U110" s="30">
        <f>281087</f>
        <v>281087</v>
      </c>
      <c r="V110" s="30">
        <f>3074795169100</f>
        <v>3074795169100</v>
      </c>
      <c r="W110" s="30">
        <f>4135708155</f>
        <v>4135708155</v>
      </c>
      <c r="X110" s="34">
        <f>19</f>
        <v>19</v>
      </c>
    </row>
    <row r="111" spans="1:24" x14ac:dyDescent="0.15">
      <c r="A111" s="25" t="s">
        <v>817</v>
      </c>
      <c r="B111" s="25" t="s">
        <v>364</v>
      </c>
      <c r="C111" s="25" t="s">
        <v>365</v>
      </c>
      <c r="D111" s="25" t="s">
        <v>366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973</f>
        <v>973</v>
      </c>
      <c r="L111" s="32" t="s">
        <v>811</v>
      </c>
      <c r="M111" s="31">
        <f>1081</f>
        <v>1081</v>
      </c>
      <c r="N111" s="32" t="s">
        <v>266</v>
      </c>
      <c r="O111" s="31">
        <f>962</f>
        <v>962</v>
      </c>
      <c r="P111" s="32" t="s">
        <v>810</v>
      </c>
      <c r="Q111" s="31">
        <f>1042</f>
        <v>1042</v>
      </c>
      <c r="R111" s="32" t="s">
        <v>818</v>
      </c>
      <c r="S111" s="33">
        <f>1012.11</f>
        <v>1012.11</v>
      </c>
      <c r="T111" s="30">
        <f>27563865</f>
        <v>27563865</v>
      </c>
      <c r="U111" s="30" t="str">
        <f>"－"</f>
        <v>－</v>
      </c>
      <c r="V111" s="30">
        <f>28034723397</f>
        <v>28034723397</v>
      </c>
      <c r="W111" s="30" t="str">
        <f>"－"</f>
        <v>－</v>
      </c>
      <c r="X111" s="34">
        <f>19</f>
        <v>19</v>
      </c>
    </row>
    <row r="112" spans="1:24" x14ac:dyDescent="0.15">
      <c r="A112" s="25" t="s">
        <v>817</v>
      </c>
      <c r="B112" s="25" t="s">
        <v>367</v>
      </c>
      <c r="C112" s="25" t="s">
        <v>368</v>
      </c>
      <c r="D112" s="25" t="s">
        <v>369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6936</f>
        <v>6936</v>
      </c>
      <c r="L112" s="32" t="s">
        <v>811</v>
      </c>
      <c r="M112" s="31">
        <f>7850</f>
        <v>7850</v>
      </c>
      <c r="N112" s="32" t="s">
        <v>820</v>
      </c>
      <c r="O112" s="31">
        <f>6560</f>
        <v>6560</v>
      </c>
      <c r="P112" s="32" t="s">
        <v>80</v>
      </c>
      <c r="Q112" s="31">
        <f>7027</f>
        <v>7027</v>
      </c>
      <c r="R112" s="32" t="s">
        <v>818</v>
      </c>
      <c r="S112" s="33">
        <f>7224.79</f>
        <v>7224.79</v>
      </c>
      <c r="T112" s="30">
        <f>64130</f>
        <v>64130</v>
      </c>
      <c r="U112" s="30" t="str">
        <f>"－"</f>
        <v>－</v>
      </c>
      <c r="V112" s="30">
        <f>464649620</f>
        <v>464649620</v>
      </c>
      <c r="W112" s="30" t="str">
        <f>"－"</f>
        <v>－</v>
      </c>
      <c r="X112" s="34">
        <f>19</f>
        <v>19</v>
      </c>
    </row>
    <row r="113" spans="1:24" x14ac:dyDescent="0.15">
      <c r="A113" s="25" t="s">
        <v>817</v>
      </c>
      <c r="B113" s="25" t="s">
        <v>370</v>
      </c>
      <c r="C113" s="25" t="s">
        <v>371</v>
      </c>
      <c r="D113" s="25" t="s">
        <v>372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8719</f>
        <v>8719</v>
      </c>
      <c r="L113" s="32" t="s">
        <v>811</v>
      </c>
      <c r="M113" s="31">
        <f>9000</f>
        <v>9000</v>
      </c>
      <c r="N113" s="32" t="s">
        <v>80</v>
      </c>
      <c r="O113" s="31">
        <f>8120</f>
        <v>8120</v>
      </c>
      <c r="P113" s="32" t="s">
        <v>66</v>
      </c>
      <c r="Q113" s="31">
        <f>8510</f>
        <v>8510</v>
      </c>
      <c r="R113" s="32" t="s">
        <v>818</v>
      </c>
      <c r="S113" s="33">
        <f>8483.84</f>
        <v>8483.84</v>
      </c>
      <c r="T113" s="30">
        <f>10940</f>
        <v>10940</v>
      </c>
      <c r="U113" s="30" t="str">
        <f>"－"</f>
        <v>－</v>
      </c>
      <c r="V113" s="30">
        <f>92728160</f>
        <v>92728160</v>
      </c>
      <c r="W113" s="30" t="str">
        <f>"－"</f>
        <v>－</v>
      </c>
      <c r="X113" s="34">
        <f>19</f>
        <v>19</v>
      </c>
    </row>
    <row r="114" spans="1:24" x14ac:dyDescent="0.15">
      <c r="A114" s="25" t="s">
        <v>817</v>
      </c>
      <c r="B114" s="25" t="s">
        <v>373</v>
      </c>
      <c r="C114" s="25" t="s">
        <v>374</v>
      </c>
      <c r="D114" s="25" t="s">
        <v>375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849</f>
        <v>849</v>
      </c>
      <c r="L114" s="32" t="s">
        <v>811</v>
      </c>
      <c r="M114" s="31">
        <f>849</f>
        <v>849</v>
      </c>
      <c r="N114" s="32" t="s">
        <v>811</v>
      </c>
      <c r="O114" s="31">
        <f>770</f>
        <v>770</v>
      </c>
      <c r="P114" s="32" t="s">
        <v>87</v>
      </c>
      <c r="Q114" s="31">
        <f>782</f>
        <v>782</v>
      </c>
      <c r="R114" s="32" t="s">
        <v>818</v>
      </c>
      <c r="S114" s="33">
        <f>807.18</f>
        <v>807.18</v>
      </c>
      <c r="T114" s="30">
        <f>11090</f>
        <v>11090</v>
      </c>
      <c r="U114" s="30" t="str">
        <f>"－"</f>
        <v>－</v>
      </c>
      <c r="V114" s="30">
        <f>8988863</f>
        <v>8988863</v>
      </c>
      <c r="W114" s="30" t="str">
        <f>"－"</f>
        <v>－</v>
      </c>
      <c r="X114" s="34">
        <f>18</f>
        <v>18</v>
      </c>
    </row>
    <row r="115" spans="1:24" x14ac:dyDescent="0.15">
      <c r="A115" s="25" t="s">
        <v>817</v>
      </c>
      <c r="B115" s="25" t="s">
        <v>376</v>
      </c>
      <c r="C115" s="25" t="s">
        <v>377</v>
      </c>
      <c r="D115" s="25" t="s">
        <v>378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22800</f>
        <v>22800</v>
      </c>
      <c r="L115" s="32" t="s">
        <v>811</v>
      </c>
      <c r="M115" s="31">
        <f>24345</f>
        <v>24345</v>
      </c>
      <c r="N115" s="32" t="s">
        <v>814</v>
      </c>
      <c r="O115" s="31">
        <f>22800</f>
        <v>22800</v>
      </c>
      <c r="P115" s="32" t="s">
        <v>811</v>
      </c>
      <c r="Q115" s="31">
        <f>23405</f>
        <v>23405</v>
      </c>
      <c r="R115" s="32" t="s">
        <v>818</v>
      </c>
      <c r="S115" s="33">
        <f>23625.79</f>
        <v>23625.79</v>
      </c>
      <c r="T115" s="30">
        <f>103701</f>
        <v>103701</v>
      </c>
      <c r="U115" s="30">
        <f>23251</f>
        <v>23251</v>
      </c>
      <c r="V115" s="30">
        <f>2466693895</f>
        <v>2466693895</v>
      </c>
      <c r="W115" s="30">
        <f>551911775</f>
        <v>551911775</v>
      </c>
      <c r="X115" s="34">
        <f>19</f>
        <v>19</v>
      </c>
    </row>
    <row r="116" spans="1:24" x14ac:dyDescent="0.15">
      <c r="A116" s="25" t="s">
        <v>817</v>
      </c>
      <c r="B116" s="25" t="s">
        <v>379</v>
      </c>
      <c r="C116" s="25" t="s">
        <v>380</v>
      </c>
      <c r="D116" s="25" t="s">
        <v>381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2330</f>
        <v>2330</v>
      </c>
      <c r="L116" s="32" t="s">
        <v>811</v>
      </c>
      <c r="M116" s="31">
        <f>2355</f>
        <v>2355</v>
      </c>
      <c r="N116" s="32" t="s">
        <v>810</v>
      </c>
      <c r="O116" s="31">
        <f>2071</f>
        <v>2071</v>
      </c>
      <c r="P116" s="32" t="s">
        <v>266</v>
      </c>
      <c r="Q116" s="31">
        <f>2150</f>
        <v>2150</v>
      </c>
      <c r="R116" s="32" t="s">
        <v>818</v>
      </c>
      <c r="S116" s="33">
        <f>2222.05</f>
        <v>2222.0500000000002</v>
      </c>
      <c r="T116" s="30">
        <f>695018</f>
        <v>695018</v>
      </c>
      <c r="U116" s="30">
        <f>651500</f>
        <v>651500</v>
      </c>
      <c r="V116" s="30">
        <f>1534053792</f>
        <v>1534053792</v>
      </c>
      <c r="W116" s="30">
        <f>1438830150</f>
        <v>1438830150</v>
      </c>
      <c r="X116" s="34">
        <f>19</f>
        <v>19</v>
      </c>
    </row>
    <row r="117" spans="1:24" x14ac:dyDescent="0.15">
      <c r="A117" s="25" t="s">
        <v>817</v>
      </c>
      <c r="B117" s="25" t="s">
        <v>382</v>
      </c>
      <c r="C117" s="25" t="s">
        <v>383</v>
      </c>
      <c r="D117" s="25" t="s">
        <v>384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17050</f>
        <v>17050</v>
      </c>
      <c r="L117" s="32" t="s">
        <v>811</v>
      </c>
      <c r="M117" s="31">
        <f>17435</f>
        <v>17435</v>
      </c>
      <c r="N117" s="32" t="s">
        <v>810</v>
      </c>
      <c r="O117" s="31">
        <f>13620</f>
        <v>13620</v>
      </c>
      <c r="P117" s="32" t="s">
        <v>266</v>
      </c>
      <c r="Q117" s="31">
        <f>14670</f>
        <v>14670</v>
      </c>
      <c r="R117" s="32" t="s">
        <v>818</v>
      </c>
      <c r="S117" s="33">
        <f>15687.37</f>
        <v>15687.37</v>
      </c>
      <c r="T117" s="30">
        <f>15493880</f>
        <v>15493880</v>
      </c>
      <c r="U117" s="30">
        <f>20330</f>
        <v>20330</v>
      </c>
      <c r="V117" s="30">
        <f>240409366900</f>
        <v>240409366900</v>
      </c>
      <c r="W117" s="30">
        <f>312582750</f>
        <v>312582750</v>
      </c>
      <c r="X117" s="34">
        <f>19</f>
        <v>19</v>
      </c>
    </row>
    <row r="118" spans="1:24" x14ac:dyDescent="0.15">
      <c r="A118" s="25" t="s">
        <v>817</v>
      </c>
      <c r="B118" s="25" t="s">
        <v>385</v>
      </c>
      <c r="C118" s="25" t="s">
        <v>386</v>
      </c>
      <c r="D118" s="25" t="s">
        <v>387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2590.5</f>
        <v>2590.5</v>
      </c>
      <c r="L118" s="32" t="s">
        <v>811</v>
      </c>
      <c r="M118" s="31">
        <f>2876.5</f>
        <v>2876.5</v>
      </c>
      <c r="N118" s="32" t="s">
        <v>266</v>
      </c>
      <c r="O118" s="31">
        <f>2561</f>
        <v>2561</v>
      </c>
      <c r="P118" s="32" t="s">
        <v>810</v>
      </c>
      <c r="Q118" s="31">
        <f>2773</f>
        <v>2773</v>
      </c>
      <c r="R118" s="32" t="s">
        <v>818</v>
      </c>
      <c r="S118" s="33">
        <f>2693.68</f>
        <v>2693.68</v>
      </c>
      <c r="T118" s="30">
        <f>1882200</f>
        <v>1882200</v>
      </c>
      <c r="U118" s="30">
        <f>90</f>
        <v>90</v>
      </c>
      <c r="V118" s="30">
        <f>5137857120</f>
        <v>5137857120</v>
      </c>
      <c r="W118" s="30">
        <f>238770</f>
        <v>238770</v>
      </c>
      <c r="X118" s="34">
        <f>19</f>
        <v>19</v>
      </c>
    </row>
    <row r="119" spans="1:24" x14ac:dyDescent="0.15">
      <c r="A119" s="25" t="s">
        <v>817</v>
      </c>
      <c r="B119" s="25" t="s">
        <v>388</v>
      </c>
      <c r="C119" s="25" t="s">
        <v>389</v>
      </c>
      <c r="D119" s="25" t="s">
        <v>390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948.4</f>
        <v>948.4</v>
      </c>
      <c r="L119" s="32" t="s">
        <v>811</v>
      </c>
      <c r="M119" s="31">
        <f>988.8</f>
        <v>988.8</v>
      </c>
      <c r="N119" s="32" t="s">
        <v>695</v>
      </c>
      <c r="O119" s="31">
        <f>831.1</f>
        <v>831.1</v>
      </c>
      <c r="P119" s="32" t="s">
        <v>94</v>
      </c>
      <c r="Q119" s="31">
        <f>832.1</f>
        <v>832.1</v>
      </c>
      <c r="R119" s="32" t="s">
        <v>818</v>
      </c>
      <c r="S119" s="33">
        <f>926.54</f>
        <v>926.54</v>
      </c>
      <c r="T119" s="30">
        <f>1570</f>
        <v>1570</v>
      </c>
      <c r="U119" s="30" t="str">
        <f>"－"</f>
        <v>－</v>
      </c>
      <c r="V119" s="30">
        <f>1443198</f>
        <v>1443198</v>
      </c>
      <c r="W119" s="30" t="str">
        <f>"－"</f>
        <v>－</v>
      </c>
      <c r="X119" s="34">
        <f>13</f>
        <v>13</v>
      </c>
    </row>
    <row r="120" spans="1:24" x14ac:dyDescent="0.15">
      <c r="A120" s="25" t="s">
        <v>817</v>
      </c>
      <c r="B120" s="25" t="s">
        <v>391</v>
      </c>
      <c r="C120" s="25" t="s">
        <v>392</v>
      </c>
      <c r="D120" s="25" t="s">
        <v>393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1595</f>
        <v>1595</v>
      </c>
      <c r="L120" s="32" t="s">
        <v>811</v>
      </c>
      <c r="M120" s="31">
        <f>1619</f>
        <v>1619</v>
      </c>
      <c r="N120" s="32" t="s">
        <v>810</v>
      </c>
      <c r="O120" s="31">
        <f>1443</f>
        <v>1443</v>
      </c>
      <c r="P120" s="32" t="s">
        <v>266</v>
      </c>
      <c r="Q120" s="31">
        <f>1475</f>
        <v>1475</v>
      </c>
      <c r="R120" s="32" t="s">
        <v>818</v>
      </c>
      <c r="S120" s="33">
        <f>1539.89</f>
        <v>1539.89</v>
      </c>
      <c r="T120" s="30">
        <f>1970</f>
        <v>1970</v>
      </c>
      <c r="U120" s="30">
        <f>10</f>
        <v>10</v>
      </c>
      <c r="V120" s="30">
        <f>3155770</f>
        <v>3155770</v>
      </c>
      <c r="W120" s="30">
        <f>15870</f>
        <v>15870</v>
      </c>
      <c r="X120" s="34">
        <f>9</f>
        <v>9</v>
      </c>
    </row>
    <row r="121" spans="1:24" x14ac:dyDescent="0.15">
      <c r="A121" s="25" t="s">
        <v>817</v>
      </c>
      <c r="B121" s="25" t="s">
        <v>394</v>
      </c>
      <c r="C121" s="25" t="s">
        <v>395</v>
      </c>
      <c r="D121" s="25" t="s">
        <v>396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1838</f>
        <v>1838</v>
      </c>
      <c r="L121" s="32" t="s">
        <v>811</v>
      </c>
      <c r="M121" s="31">
        <f>1984</f>
        <v>1984</v>
      </c>
      <c r="N121" s="32" t="s">
        <v>810</v>
      </c>
      <c r="O121" s="31">
        <f>1578</f>
        <v>1578</v>
      </c>
      <c r="P121" s="32" t="s">
        <v>266</v>
      </c>
      <c r="Q121" s="31">
        <f>1628</f>
        <v>1628</v>
      </c>
      <c r="R121" s="32" t="s">
        <v>818</v>
      </c>
      <c r="S121" s="33">
        <f>1704.05</f>
        <v>1704.05</v>
      </c>
      <c r="T121" s="30">
        <f>5788</f>
        <v>5788</v>
      </c>
      <c r="U121" s="30" t="str">
        <f>"－"</f>
        <v>－</v>
      </c>
      <c r="V121" s="30">
        <f>9934495</f>
        <v>9934495</v>
      </c>
      <c r="W121" s="30" t="str">
        <f>"－"</f>
        <v>－</v>
      </c>
      <c r="X121" s="34">
        <f>19</f>
        <v>19</v>
      </c>
    </row>
    <row r="122" spans="1:24" x14ac:dyDescent="0.15">
      <c r="A122" s="25" t="s">
        <v>817</v>
      </c>
      <c r="B122" s="25" t="s">
        <v>397</v>
      </c>
      <c r="C122" s="25" t="s">
        <v>398</v>
      </c>
      <c r="D122" s="25" t="s">
        <v>399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18210</f>
        <v>18210</v>
      </c>
      <c r="L122" s="32" t="s">
        <v>811</v>
      </c>
      <c r="M122" s="31">
        <f>18490</f>
        <v>18490</v>
      </c>
      <c r="N122" s="32" t="s">
        <v>810</v>
      </c>
      <c r="O122" s="31">
        <f>16640</f>
        <v>16640</v>
      </c>
      <c r="P122" s="32" t="s">
        <v>266</v>
      </c>
      <c r="Q122" s="31">
        <f>17180</f>
        <v>17180</v>
      </c>
      <c r="R122" s="32" t="s">
        <v>818</v>
      </c>
      <c r="S122" s="33">
        <f>17708.16</f>
        <v>17708.16</v>
      </c>
      <c r="T122" s="30">
        <f>44688</f>
        <v>44688</v>
      </c>
      <c r="U122" s="30">
        <f>5811</f>
        <v>5811</v>
      </c>
      <c r="V122" s="30">
        <f>776244074</f>
        <v>776244074</v>
      </c>
      <c r="W122" s="30">
        <f>97695359</f>
        <v>97695359</v>
      </c>
      <c r="X122" s="34">
        <f>19</f>
        <v>19</v>
      </c>
    </row>
    <row r="123" spans="1:24" x14ac:dyDescent="0.15">
      <c r="A123" s="25" t="s">
        <v>817</v>
      </c>
      <c r="B123" s="25" t="s">
        <v>400</v>
      </c>
      <c r="C123" s="25" t="s">
        <v>401</v>
      </c>
      <c r="D123" s="25" t="s">
        <v>402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1679</f>
        <v>1679</v>
      </c>
      <c r="L123" s="32" t="s">
        <v>811</v>
      </c>
      <c r="M123" s="31">
        <f>1716</f>
        <v>1716</v>
      </c>
      <c r="N123" s="32" t="s">
        <v>80</v>
      </c>
      <c r="O123" s="31">
        <f>1534</f>
        <v>1534</v>
      </c>
      <c r="P123" s="32" t="s">
        <v>266</v>
      </c>
      <c r="Q123" s="31">
        <f>1567</f>
        <v>1567</v>
      </c>
      <c r="R123" s="32" t="s">
        <v>818</v>
      </c>
      <c r="S123" s="33">
        <f>1627.16</f>
        <v>1627.16</v>
      </c>
      <c r="T123" s="30">
        <f>2568944</f>
        <v>2568944</v>
      </c>
      <c r="U123" s="30">
        <f>2474001</f>
        <v>2474001</v>
      </c>
      <c r="V123" s="30">
        <f>4123378629</f>
        <v>4123378629</v>
      </c>
      <c r="W123" s="30">
        <f>3971356916</f>
        <v>3971356916</v>
      </c>
      <c r="X123" s="34">
        <f>19</f>
        <v>19</v>
      </c>
    </row>
    <row r="124" spans="1:24" x14ac:dyDescent="0.15">
      <c r="A124" s="25" t="s">
        <v>817</v>
      </c>
      <c r="B124" s="25" t="s">
        <v>403</v>
      </c>
      <c r="C124" s="25" t="s">
        <v>404</v>
      </c>
      <c r="D124" s="25" t="s">
        <v>405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18770</f>
        <v>18770</v>
      </c>
      <c r="L124" s="32" t="s">
        <v>811</v>
      </c>
      <c r="M124" s="31">
        <f>19050</f>
        <v>19050</v>
      </c>
      <c r="N124" s="32" t="s">
        <v>80</v>
      </c>
      <c r="O124" s="31">
        <f>17020</f>
        <v>17020</v>
      </c>
      <c r="P124" s="32" t="s">
        <v>266</v>
      </c>
      <c r="Q124" s="31">
        <f>17530</f>
        <v>17530</v>
      </c>
      <c r="R124" s="32" t="s">
        <v>818</v>
      </c>
      <c r="S124" s="33">
        <f>18175.53</f>
        <v>18175.53</v>
      </c>
      <c r="T124" s="30">
        <f>35620</f>
        <v>35620</v>
      </c>
      <c r="U124" s="30" t="str">
        <f>"－"</f>
        <v>－</v>
      </c>
      <c r="V124" s="30">
        <f>653880790</f>
        <v>653880790</v>
      </c>
      <c r="W124" s="30" t="str">
        <f>"－"</f>
        <v>－</v>
      </c>
      <c r="X124" s="34">
        <f>19</f>
        <v>19</v>
      </c>
    </row>
    <row r="125" spans="1:24" x14ac:dyDescent="0.15">
      <c r="A125" s="25" t="s">
        <v>817</v>
      </c>
      <c r="B125" s="25" t="s">
        <v>406</v>
      </c>
      <c r="C125" s="25" t="s">
        <v>407</v>
      </c>
      <c r="D125" s="25" t="s">
        <v>408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2133.5</f>
        <v>2133.5</v>
      </c>
      <c r="L125" s="32" t="s">
        <v>811</v>
      </c>
      <c r="M125" s="31">
        <f>2133.5</f>
        <v>2133.5</v>
      </c>
      <c r="N125" s="32" t="s">
        <v>811</v>
      </c>
      <c r="O125" s="31">
        <f>1820</f>
        <v>1820</v>
      </c>
      <c r="P125" s="32" t="s">
        <v>66</v>
      </c>
      <c r="Q125" s="31">
        <f>1988</f>
        <v>1988</v>
      </c>
      <c r="R125" s="32" t="s">
        <v>818</v>
      </c>
      <c r="S125" s="33">
        <f>1998.42</f>
        <v>1998.42</v>
      </c>
      <c r="T125" s="30">
        <f>2979890</f>
        <v>2979890</v>
      </c>
      <c r="U125" s="30">
        <f>920540</f>
        <v>920540</v>
      </c>
      <c r="V125" s="30">
        <f>5783997879</f>
        <v>5783997879</v>
      </c>
      <c r="W125" s="30">
        <f>1788472714</f>
        <v>1788472714</v>
      </c>
      <c r="X125" s="34">
        <f>19</f>
        <v>19</v>
      </c>
    </row>
    <row r="126" spans="1:24" x14ac:dyDescent="0.15">
      <c r="A126" s="25" t="s">
        <v>817</v>
      </c>
      <c r="B126" s="25" t="s">
        <v>409</v>
      </c>
      <c r="C126" s="25" t="s">
        <v>410</v>
      </c>
      <c r="D126" s="25" t="s">
        <v>411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1771</f>
        <v>1771</v>
      </c>
      <c r="L126" s="32" t="s">
        <v>811</v>
      </c>
      <c r="M126" s="31">
        <f>1777</f>
        <v>1777</v>
      </c>
      <c r="N126" s="32" t="s">
        <v>811</v>
      </c>
      <c r="O126" s="31">
        <f>1649</f>
        <v>1649</v>
      </c>
      <c r="P126" s="32" t="s">
        <v>815</v>
      </c>
      <c r="Q126" s="31">
        <f>1649</f>
        <v>1649</v>
      </c>
      <c r="R126" s="32" t="s">
        <v>815</v>
      </c>
      <c r="S126" s="33">
        <f>1708.8</f>
        <v>1708.8</v>
      </c>
      <c r="T126" s="30">
        <f>160</f>
        <v>160</v>
      </c>
      <c r="U126" s="30" t="str">
        <f>"－"</f>
        <v>－</v>
      </c>
      <c r="V126" s="30">
        <f>275870</f>
        <v>275870</v>
      </c>
      <c r="W126" s="30" t="str">
        <f>"－"</f>
        <v>－</v>
      </c>
      <c r="X126" s="34">
        <f>5</f>
        <v>5</v>
      </c>
    </row>
    <row r="127" spans="1:24" x14ac:dyDescent="0.15">
      <c r="A127" s="25" t="s">
        <v>817</v>
      </c>
      <c r="B127" s="25" t="s">
        <v>412</v>
      </c>
      <c r="C127" s="25" t="s">
        <v>413</v>
      </c>
      <c r="D127" s="25" t="s">
        <v>414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</v>
      </c>
      <c r="K127" s="31">
        <f>2132</f>
        <v>2132</v>
      </c>
      <c r="L127" s="32" t="s">
        <v>811</v>
      </c>
      <c r="M127" s="31">
        <f>2133.5</f>
        <v>2133.5</v>
      </c>
      <c r="N127" s="32" t="s">
        <v>810</v>
      </c>
      <c r="O127" s="31">
        <f>1836.5</f>
        <v>1836.5</v>
      </c>
      <c r="P127" s="32" t="s">
        <v>66</v>
      </c>
      <c r="Q127" s="31">
        <f>2005</f>
        <v>2005</v>
      </c>
      <c r="R127" s="32" t="s">
        <v>818</v>
      </c>
      <c r="S127" s="33">
        <f>2014.53</f>
        <v>2014.53</v>
      </c>
      <c r="T127" s="30">
        <f>1128760</f>
        <v>1128760</v>
      </c>
      <c r="U127" s="30">
        <f>64670</f>
        <v>64670</v>
      </c>
      <c r="V127" s="30">
        <f>2258288206</f>
        <v>2258288206</v>
      </c>
      <c r="W127" s="30">
        <f>120659921</f>
        <v>120659921</v>
      </c>
      <c r="X127" s="34">
        <f>19</f>
        <v>19</v>
      </c>
    </row>
    <row r="128" spans="1:24" x14ac:dyDescent="0.15">
      <c r="A128" s="25" t="s">
        <v>817</v>
      </c>
      <c r="B128" s="25" t="s">
        <v>415</v>
      </c>
      <c r="C128" s="25" t="s">
        <v>416</v>
      </c>
      <c r="D128" s="25" t="s">
        <v>417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18650</f>
        <v>18650</v>
      </c>
      <c r="L128" s="32" t="s">
        <v>811</v>
      </c>
      <c r="M128" s="31">
        <f>18845</f>
        <v>18845</v>
      </c>
      <c r="N128" s="32" t="s">
        <v>810</v>
      </c>
      <c r="O128" s="31">
        <f>16850</f>
        <v>16850</v>
      </c>
      <c r="P128" s="32" t="s">
        <v>266</v>
      </c>
      <c r="Q128" s="31">
        <f>17320</f>
        <v>17320</v>
      </c>
      <c r="R128" s="32" t="s">
        <v>818</v>
      </c>
      <c r="S128" s="33">
        <f>17936.94</f>
        <v>17936.939999999999</v>
      </c>
      <c r="T128" s="30">
        <f>4181</f>
        <v>4181</v>
      </c>
      <c r="U128" s="30">
        <f>1</f>
        <v>1</v>
      </c>
      <c r="V128" s="30">
        <f>75254540</f>
        <v>75254540</v>
      </c>
      <c r="W128" s="30">
        <f>18830</f>
        <v>18830</v>
      </c>
      <c r="X128" s="34">
        <f>18</f>
        <v>18</v>
      </c>
    </row>
    <row r="129" spans="1:24" x14ac:dyDescent="0.15">
      <c r="A129" s="25" t="s">
        <v>817</v>
      </c>
      <c r="B129" s="25" t="s">
        <v>418</v>
      </c>
      <c r="C129" s="25" t="s">
        <v>419</v>
      </c>
      <c r="D129" s="25" t="s">
        <v>420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100</v>
      </c>
      <c r="K129" s="31">
        <f>153.2</f>
        <v>153.19999999999999</v>
      </c>
      <c r="L129" s="32" t="s">
        <v>811</v>
      </c>
      <c r="M129" s="31">
        <f>170.7</f>
        <v>170.7</v>
      </c>
      <c r="N129" s="32" t="s">
        <v>814</v>
      </c>
      <c r="O129" s="31">
        <f>153.2</f>
        <v>153.19999999999999</v>
      </c>
      <c r="P129" s="32" t="s">
        <v>811</v>
      </c>
      <c r="Q129" s="31">
        <f>162.7</f>
        <v>162.69999999999999</v>
      </c>
      <c r="R129" s="32" t="s">
        <v>818</v>
      </c>
      <c r="S129" s="33">
        <f>162.99</f>
        <v>162.99</v>
      </c>
      <c r="T129" s="30">
        <f>83806300</f>
        <v>83806300</v>
      </c>
      <c r="U129" s="30">
        <f>182200</f>
        <v>182200</v>
      </c>
      <c r="V129" s="30">
        <f>13718775705</f>
        <v>13718775705</v>
      </c>
      <c r="W129" s="30">
        <f>29256285</f>
        <v>29256285</v>
      </c>
      <c r="X129" s="34">
        <f>19</f>
        <v>19</v>
      </c>
    </row>
    <row r="130" spans="1:24" x14ac:dyDescent="0.15">
      <c r="A130" s="25" t="s">
        <v>817</v>
      </c>
      <c r="B130" s="25" t="s">
        <v>421</v>
      </c>
      <c r="C130" s="25" t="s">
        <v>422</v>
      </c>
      <c r="D130" s="25" t="s">
        <v>423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27825</f>
        <v>27825</v>
      </c>
      <c r="L130" s="32" t="s">
        <v>811</v>
      </c>
      <c r="M130" s="31">
        <f>28475</f>
        <v>28475</v>
      </c>
      <c r="N130" s="32" t="s">
        <v>70</v>
      </c>
      <c r="O130" s="31">
        <f>26900</f>
        <v>26900</v>
      </c>
      <c r="P130" s="32" t="s">
        <v>816</v>
      </c>
      <c r="Q130" s="31">
        <f>27615</f>
        <v>27615</v>
      </c>
      <c r="R130" s="32" t="s">
        <v>818</v>
      </c>
      <c r="S130" s="33">
        <f>27866.05</f>
        <v>27866.05</v>
      </c>
      <c r="T130" s="30">
        <f>858</f>
        <v>858</v>
      </c>
      <c r="U130" s="30" t="str">
        <f t="shared" ref="U130:U135" si="2">"－"</f>
        <v>－</v>
      </c>
      <c r="V130" s="30">
        <f>23794695</f>
        <v>23794695</v>
      </c>
      <c r="W130" s="30" t="str">
        <f t="shared" ref="W130:W135" si="3">"－"</f>
        <v>－</v>
      </c>
      <c r="X130" s="34">
        <f>19</f>
        <v>19</v>
      </c>
    </row>
    <row r="131" spans="1:24" x14ac:dyDescent="0.15">
      <c r="A131" s="25" t="s">
        <v>817</v>
      </c>
      <c r="B131" s="25" t="s">
        <v>424</v>
      </c>
      <c r="C131" s="25" t="s">
        <v>425</v>
      </c>
      <c r="D131" s="25" t="s">
        <v>426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10875</f>
        <v>10875</v>
      </c>
      <c r="L131" s="32" t="s">
        <v>811</v>
      </c>
      <c r="M131" s="31">
        <f>11965</f>
        <v>11965</v>
      </c>
      <c r="N131" s="32" t="s">
        <v>816</v>
      </c>
      <c r="O131" s="31">
        <f>10805</f>
        <v>10805</v>
      </c>
      <c r="P131" s="32" t="s">
        <v>811</v>
      </c>
      <c r="Q131" s="31">
        <f>11520</f>
        <v>11520</v>
      </c>
      <c r="R131" s="32" t="s">
        <v>818</v>
      </c>
      <c r="S131" s="33">
        <f>11376.32</f>
        <v>11376.32</v>
      </c>
      <c r="T131" s="30">
        <f>12414</f>
        <v>12414</v>
      </c>
      <c r="U131" s="30" t="str">
        <f t="shared" si="2"/>
        <v>－</v>
      </c>
      <c r="V131" s="30">
        <f>142598325</f>
        <v>142598325</v>
      </c>
      <c r="W131" s="30" t="str">
        <f t="shared" si="3"/>
        <v>－</v>
      </c>
      <c r="X131" s="34">
        <f>19</f>
        <v>19</v>
      </c>
    </row>
    <row r="132" spans="1:24" x14ac:dyDescent="0.15">
      <c r="A132" s="25" t="s">
        <v>817</v>
      </c>
      <c r="B132" s="25" t="s">
        <v>427</v>
      </c>
      <c r="C132" s="25" t="s">
        <v>428</v>
      </c>
      <c r="D132" s="25" t="s">
        <v>429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22540</f>
        <v>22540</v>
      </c>
      <c r="L132" s="32" t="s">
        <v>811</v>
      </c>
      <c r="M132" s="31">
        <f>23060</f>
        <v>23060</v>
      </c>
      <c r="N132" s="32" t="s">
        <v>811</v>
      </c>
      <c r="O132" s="31">
        <f>20825</f>
        <v>20825</v>
      </c>
      <c r="P132" s="32" t="s">
        <v>266</v>
      </c>
      <c r="Q132" s="31">
        <f>21320</f>
        <v>21320</v>
      </c>
      <c r="R132" s="32" t="s">
        <v>818</v>
      </c>
      <c r="S132" s="33">
        <f>21721.84</f>
        <v>21721.84</v>
      </c>
      <c r="T132" s="30">
        <f>577</f>
        <v>577</v>
      </c>
      <c r="U132" s="30" t="str">
        <f t="shared" si="2"/>
        <v>－</v>
      </c>
      <c r="V132" s="30">
        <f>12654230</f>
        <v>12654230</v>
      </c>
      <c r="W132" s="30" t="str">
        <f t="shared" si="3"/>
        <v>－</v>
      </c>
      <c r="X132" s="34">
        <f>19</f>
        <v>19</v>
      </c>
    </row>
    <row r="133" spans="1:24" x14ac:dyDescent="0.15">
      <c r="A133" s="25" t="s">
        <v>817</v>
      </c>
      <c r="B133" s="25" t="s">
        <v>430</v>
      </c>
      <c r="C133" s="25" t="s">
        <v>431</v>
      </c>
      <c r="D133" s="25" t="s">
        <v>432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26960</f>
        <v>26960</v>
      </c>
      <c r="L133" s="32" t="s">
        <v>811</v>
      </c>
      <c r="M133" s="31">
        <f>27550</f>
        <v>27550</v>
      </c>
      <c r="N133" s="32" t="s">
        <v>70</v>
      </c>
      <c r="O133" s="31">
        <f>24495</f>
        <v>24495</v>
      </c>
      <c r="P133" s="32" t="s">
        <v>94</v>
      </c>
      <c r="Q133" s="31">
        <f>25735</f>
        <v>25735</v>
      </c>
      <c r="R133" s="32" t="s">
        <v>818</v>
      </c>
      <c r="S133" s="33">
        <f>26181.84</f>
        <v>26181.84</v>
      </c>
      <c r="T133" s="30">
        <f>1259</f>
        <v>1259</v>
      </c>
      <c r="U133" s="30" t="str">
        <f t="shared" si="2"/>
        <v>－</v>
      </c>
      <c r="V133" s="30">
        <f>33647995</f>
        <v>33647995</v>
      </c>
      <c r="W133" s="30" t="str">
        <f t="shared" si="3"/>
        <v>－</v>
      </c>
      <c r="X133" s="34">
        <f>19</f>
        <v>19</v>
      </c>
    </row>
    <row r="134" spans="1:24" x14ac:dyDescent="0.15">
      <c r="A134" s="25" t="s">
        <v>817</v>
      </c>
      <c r="B134" s="25" t="s">
        <v>433</v>
      </c>
      <c r="C134" s="25" t="s">
        <v>434</v>
      </c>
      <c r="D134" s="25" t="s">
        <v>435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22415</f>
        <v>22415</v>
      </c>
      <c r="L134" s="32" t="s">
        <v>811</v>
      </c>
      <c r="M134" s="31">
        <f>22815</f>
        <v>22815</v>
      </c>
      <c r="N134" s="32" t="s">
        <v>810</v>
      </c>
      <c r="O134" s="31">
        <f>20800</f>
        <v>20800</v>
      </c>
      <c r="P134" s="32" t="s">
        <v>266</v>
      </c>
      <c r="Q134" s="31">
        <f>21275</f>
        <v>21275</v>
      </c>
      <c r="R134" s="32" t="s">
        <v>818</v>
      </c>
      <c r="S134" s="33">
        <f>21795</f>
        <v>21795</v>
      </c>
      <c r="T134" s="30">
        <f>2925</f>
        <v>2925</v>
      </c>
      <c r="U134" s="30" t="str">
        <f t="shared" si="2"/>
        <v>－</v>
      </c>
      <c r="V134" s="30">
        <f>63468445</f>
        <v>63468445</v>
      </c>
      <c r="W134" s="30" t="str">
        <f t="shared" si="3"/>
        <v>－</v>
      </c>
      <c r="X134" s="34">
        <f>19</f>
        <v>19</v>
      </c>
    </row>
    <row r="135" spans="1:24" x14ac:dyDescent="0.15">
      <c r="A135" s="25" t="s">
        <v>817</v>
      </c>
      <c r="B135" s="25" t="s">
        <v>436</v>
      </c>
      <c r="C135" s="25" t="s">
        <v>437</v>
      </c>
      <c r="D135" s="25" t="s">
        <v>438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24300</f>
        <v>24300</v>
      </c>
      <c r="L135" s="32" t="s">
        <v>811</v>
      </c>
      <c r="M135" s="31">
        <f>26965</f>
        <v>26965</v>
      </c>
      <c r="N135" s="32" t="s">
        <v>814</v>
      </c>
      <c r="O135" s="31">
        <f>23920</f>
        <v>23920</v>
      </c>
      <c r="P135" s="32" t="s">
        <v>266</v>
      </c>
      <c r="Q135" s="31">
        <f>24700</f>
        <v>24700</v>
      </c>
      <c r="R135" s="32" t="s">
        <v>818</v>
      </c>
      <c r="S135" s="33">
        <f>25553.16</f>
        <v>25553.16</v>
      </c>
      <c r="T135" s="30">
        <f>5055</f>
        <v>5055</v>
      </c>
      <c r="U135" s="30" t="str">
        <f t="shared" si="2"/>
        <v>－</v>
      </c>
      <c r="V135" s="30">
        <f>129633075</f>
        <v>129633075</v>
      </c>
      <c r="W135" s="30" t="str">
        <f t="shared" si="3"/>
        <v>－</v>
      </c>
      <c r="X135" s="34">
        <f>19</f>
        <v>19</v>
      </c>
    </row>
    <row r="136" spans="1:24" x14ac:dyDescent="0.15">
      <c r="A136" s="25" t="s">
        <v>817</v>
      </c>
      <c r="B136" s="25" t="s">
        <v>439</v>
      </c>
      <c r="C136" s="25" t="s">
        <v>440</v>
      </c>
      <c r="D136" s="25" t="s">
        <v>441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15870</f>
        <v>15870</v>
      </c>
      <c r="L136" s="32" t="s">
        <v>811</v>
      </c>
      <c r="M136" s="31">
        <f>17680</f>
        <v>17680</v>
      </c>
      <c r="N136" s="32" t="s">
        <v>819</v>
      </c>
      <c r="O136" s="31">
        <f>15690</f>
        <v>15690</v>
      </c>
      <c r="P136" s="32" t="s">
        <v>266</v>
      </c>
      <c r="Q136" s="31">
        <f>16130</f>
        <v>16130</v>
      </c>
      <c r="R136" s="32" t="s">
        <v>818</v>
      </c>
      <c r="S136" s="33">
        <f>16471.05</f>
        <v>16471.05</v>
      </c>
      <c r="T136" s="30">
        <f>5328</f>
        <v>5328</v>
      </c>
      <c r="U136" s="30">
        <f>1</f>
        <v>1</v>
      </c>
      <c r="V136" s="30">
        <f>89200385</f>
        <v>89200385</v>
      </c>
      <c r="W136" s="30">
        <f>16955</f>
        <v>16955</v>
      </c>
      <c r="X136" s="34">
        <f>19</f>
        <v>19</v>
      </c>
    </row>
    <row r="137" spans="1:24" x14ac:dyDescent="0.15">
      <c r="A137" s="25" t="s">
        <v>817</v>
      </c>
      <c r="B137" s="25" t="s">
        <v>442</v>
      </c>
      <c r="C137" s="25" t="s">
        <v>443</v>
      </c>
      <c r="D137" s="25" t="s">
        <v>444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41750</f>
        <v>41750</v>
      </c>
      <c r="L137" s="32" t="s">
        <v>811</v>
      </c>
      <c r="M137" s="31">
        <f>42790</f>
        <v>42790</v>
      </c>
      <c r="N137" s="32" t="s">
        <v>80</v>
      </c>
      <c r="O137" s="31">
        <f>37420</f>
        <v>37420</v>
      </c>
      <c r="P137" s="32" t="s">
        <v>266</v>
      </c>
      <c r="Q137" s="31">
        <f>38000</f>
        <v>38000</v>
      </c>
      <c r="R137" s="32" t="s">
        <v>818</v>
      </c>
      <c r="S137" s="33">
        <f>40390</f>
        <v>40390</v>
      </c>
      <c r="T137" s="30">
        <f>1190</f>
        <v>1190</v>
      </c>
      <c r="U137" s="30" t="str">
        <f>"－"</f>
        <v>－</v>
      </c>
      <c r="V137" s="30">
        <f>49173900</f>
        <v>49173900</v>
      </c>
      <c r="W137" s="30" t="str">
        <f>"－"</f>
        <v>－</v>
      </c>
      <c r="X137" s="34">
        <f>19</f>
        <v>19</v>
      </c>
    </row>
    <row r="138" spans="1:24" x14ac:dyDescent="0.15">
      <c r="A138" s="25" t="s">
        <v>817</v>
      </c>
      <c r="B138" s="25" t="s">
        <v>445</v>
      </c>
      <c r="C138" s="25" t="s">
        <v>446</v>
      </c>
      <c r="D138" s="25" t="s">
        <v>447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33050</f>
        <v>33050</v>
      </c>
      <c r="L138" s="32" t="s">
        <v>811</v>
      </c>
      <c r="M138" s="31">
        <f>33520</f>
        <v>33520</v>
      </c>
      <c r="N138" s="32" t="s">
        <v>810</v>
      </c>
      <c r="O138" s="31">
        <f>27185</f>
        <v>27185</v>
      </c>
      <c r="P138" s="32" t="s">
        <v>266</v>
      </c>
      <c r="Q138" s="31">
        <f>28000</f>
        <v>28000</v>
      </c>
      <c r="R138" s="32" t="s">
        <v>818</v>
      </c>
      <c r="S138" s="33">
        <f>30376.05</f>
        <v>30376.05</v>
      </c>
      <c r="T138" s="30">
        <f>4001</f>
        <v>4001</v>
      </c>
      <c r="U138" s="30" t="str">
        <f>"－"</f>
        <v>－</v>
      </c>
      <c r="V138" s="30">
        <f>123384560</f>
        <v>123384560</v>
      </c>
      <c r="W138" s="30" t="str">
        <f>"－"</f>
        <v>－</v>
      </c>
      <c r="X138" s="34">
        <f>19</f>
        <v>19</v>
      </c>
    </row>
    <row r="139" spans="1:24" x14ac:dyDescent="0.15">
      <c r="A139" s="25" t="s">
        <v>817</v>
      </c>
      <c r="B139" s="25" t="s">
        <v>448</v>
      </c>
      <c r="C139" s="25" t="s">
        <v>449</v>
      </c>
      <c r="D139" s="25" t="s">
        <v>450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29490</f>
        <v>29490</v>
      </c>
      <c r="L139" s="32" t="s">
        <v>811</v>
      </c>
      <c r="M139" s="31">
        <f>29720</f>
        <v>29720</v>
      </c>
      <c r="N139" s="32" t="s">
        <v>810</v>
      </c>
      <c r="O139" s="31">
        <f>26100</f>
        <v>26100</v>
      </c>
      <c r="P139" s="32" t="s">
        <v>266</v>
      </c>
      <c r="Q139" s="31">
        <f>27225</f>
        <v>27225</v>
      </c>
      <c r="R139" s="32" t="s">
        <v>818</v>
      </c>
      <c r="S139" s="33">
        <f>27946.32</f>
        <v>27946.32</v>
      </c>
      <c r="T139" s="30">
        <f>2456</f>
        <v>2456</v>
      </c>
      <c r="U139" s="30" t="str">
        <f>"－"</f>
        <v>－</v>
      </c>
      <c r="V139" s="30">
        <f>68741520</f>
        <v>68741520</v>
      </c>
      <c r="W139" s="30" t="str">
        <f>"－"</f>
        <v>－</v>
      </c>
      <c r="X139" s="34">
        <f>19</f>
        <v>19</v>
      </c>
    </row>
    <row r="140" spans="1:24" x14ac:dyDescent="0.15">
      <c r="A140" s="25" t="s">
        <v>817</v>
      </c>
      <c r="B140" s="25" t="s">
        <v>451</v>
      </c>
      <c r="C140" s="25" t="s">
        <v>452</v>
      </c>
      <c r="D140" s="25" t="s">
        <v>453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5490</f>
        <v>5490</v>
      </c>
      <c r="L140" s="32" t="s">
        <v>811</v>
      </c>
      <c r="M140" s="31">
        <f>5573</f>
        <v>5573</v>
      </c>
      <c r="N140" s="32" t="s">
        <v>812</v>
      </c>
      <c r="O140" s="31">
        <f>5410</f>
        <v>5410</v>
      </c>
      <c r="P140" s="32" t="s">
        <v>818</v>
      </c>
      <c r="Q140" s="31">
        <f>5521</f>
        <v>5521</v>
      </c>
      <c r="R140" s="32" t="s">
        <v>818</v>
      </c>
      <c r="S140" s="33">
        <f>5510.79</f>
        <v>5510.79</v>
      </c>
      <c r="T140" s="30">
        <f>6310</f>
        <v>6310</v>
      </c>
      <c r="U140" s="30">
        <f>1</f>
        <v>1</v>
      </c>
      <c r="V140" s="30">
        <f>34698376</f>
        <v>34698376</v>
      </c>
      <c r="W140" s="30">
        <f>5922</f>
        <v>5922</v>
      </c>
      <c r="X140" s="34">
        <f>19</f>
        <v>19</v>
      </c>
    </row>
    <row r="141" spans="1:24" x14ac:dyDescent="0.15">
      <c r="A141" s="25" t="s">
        <v>817</v>
      </c>
      <c r="B141" s="25" t="s">
        <v>454</v>
      </c>
      <c r="C141" s="25" t="s">
        <v>455</v>
      </c>
      <c r="D141" s="25" t="s">
        <v>456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14500</f>
        <v>14500</v>
      </c>
      <c r="L141" s="32" t="s">
        <v>811</v>
      </c>
      <c r="M141" s="31">
        <f>14780</f>
        <v>14780</v>
      </c>
      <c r="N141" s="32" t="s">
        <v>810</v>
      </c>
      <c r="O141" s="31">
        <f>13645</f>
        <v>13645</v>
      </c>
      <c r="P141" s="32" t="s">
        <v>266</v>
      </c>
      <c r="Q141" s="31">
        <f>14145</f>
        <v>14145</v>
      </c>
      <c r="R141" s="32" t="s">
        <v>818</v>
      </c>
      <c r="S141" s="33">
        <f>14262.37</f>
        <v>14262.37</v>
      </c>
      <c r="T141" s="30">
        <f>13391</f>
        <v>13391</v>
      </c>
      <c r="U141" s="30" t="str">
        <f t="shared" ref="U141:U146" si="4">"－"</f>
        <v>－</v>
      </c>
      <c r="V141" s="30">
        <f>190136705</f>
        <v>190136705</v>
      </c>
      <c r="W141" s="30" t="str">
        <f t="shared" ref="W141:W146" si="5">"－"</f>
        <v>－</v>
      </c>
      <c r="X141" s="34">
        <f>19</f>
        <v>19</v>
      </c>
    </row>
    <row r="142" spans="1:24" x14ac:dyDescent="0.15">
      <c r="A142" s="25" t="s">
        <v>817</v>
      </c>
      <c r="B142" s="25" t="s">
        <v>457</v>
      </c>
      <c r="C142" s="25" t="s">
        <v>458</v>
      </c>
      <c r="D142" s="25" t="s">
        <v>459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42460</f>
        <v>42460</v>
      </c>
      <c r="L142" s="32" t="s">
        <v>811</v>
      </c>
      <c r="M142" s="31">
        <f>43250</f>
        <v>43250</v>
      </c>
      <c r="N142" s="32" t="s">
        <v>56</v>
      </c>
      <c r="O142" s="31">
        <f>40870</f>
        <v>40870</v>
      </c>
      <c r="P142" s="32" t="s">
        <v>266</v>
      </c>
      <c r="Q142" s="31">
        <f>42110</f>
        <v>42110</v>
      </c>
      <c r="R142" s="32" t="s">
        <v>818</v>
      </c>
      <c r="S142" s="33">
        <f>42166.84</f>
        <v>42166.84</v>
      </c>
      <c r="T142" s="30">
        <f>4334</f>
        <v>4334</v>
      </c>
      <c r="U142" s="30" t="str">
        <f t="shared" si="4"/>
        <v>－</v>
      </c>
      <c r="V142" s="30">
        <f>182823860</f>
        <v>182823860</v>
      </c>
      <c r="W142" s="30" t="str">
        <f t="shared" si="5"/>
        <v>－</v>
      </c>
      <c r="X142" s="34">
        <f>19</f>
        <v>19</v>
      </c>
    </row>
    <row r="143" spans="1:24" x14ac:dyDescent="0.15">
      <c r="A143" s="25" t="s">
        <v>817</v>
      </c>
      <c r="B143" s="25" t="s">
        <v>460</v>
      </c>
      <c r="C143" s="25" t="s">
        <v>461</v>
      </c>
      <c r="D143" s="25" t="s">
        <v>462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21430</f>
        <v>21430</v>
      </c>
      <c r="L143" s="32" t="s">
        <v>811</v>
      </c>
      <c r="M143" s="31">
        <f>21480</f>
        <v>21480</v>
      </c>
      <c r="N143" s="32" t="s">
        <v>811</v>
      </c>
      <c r="O143" s="31">
        <f>20170</f>
        <v>20170</v>
      </c>
      <c r="P143" s="32" t="s">
        <v>87</v>
      </c>
      <c r="Q143" s="31">
        <f>21015</f>
        <v>21015</v>
      </c>
      <c r="R143" s="32" t="s">
        <v>818</v>
      </c>
      <c r="S143" s="33">
        <f>20717.78</f>
        <v>20717.78</v>
      </c>
      <c r="T143" s="30">
        <f>1009</f>
        <v>1009</v>
      </c>
      <c r="U143" s="30" t="str">
        <f t="shared" si="4"/>
        <v>－</v>
      </c>
      <c r="V143" s="30">
        <f>20865885</f>
        <v>20865885</v>
      </c>
      <c r="W143" s="30" t="str">
        <f t="shared" si="5"/>
        <v>－</v>
      </c>
      <c r="X143" s="34">
        <f>18</f>
        <v>18</v>
      </c>
    </row>
    <row r="144" spans="1:24" x14ac:dyDescent="0.15">
      <c r="A144" s="25" t="s">
        <v>817</v>
      </c>
      <c r="B144" s="25" t="s">
        <v>463</v>
      </c>
      <c r="C144" s="25" t="s">
        <v>464</v>
      </c>
      <c r="D144" s="25" t="s">
        <v>465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8029</f>
        <v>8029</v>
      </c>
      <c r="L144" s="32" t="s">
        <v>811</v>
      </c>
      <c r="M144" s="31">
        <f>8954</f>
        <v>8954</v>
      </c>
      <c r="N144" s="32" t="s">
        <v>814</v>
      </c>
      <c r="O144" s="31">
        <f>8023</f>
        <v>8023</v>
      </c>
      <c r="P144" s="32" t="s">
        <v>811</v>
      </c>
      <c r="Q144" s="31">
        <f>8497</f>
        <v>8497</v>
      </c>
      <c r="R144" s="32" t="s">
        <v>818</v>
      </c>
      <c r="S144" s="33">
        <f>8532.42</f>
        <v>8532.42</v>
      </c>
      <c r="T144" s="30">
        <f>29451</f>
        <v>29451</v>
      </c>
      <c r="U144" s="30" t="str">
        <f t="shared" si="4"/>
        <v>－</v>
      </c>
      <c r="V144" s="30">
        <f>251147437</f>
        <v>251147437</v>
      </c>
      <c r="W144" s="30" t="str">
        <f t="shared" si="5"/>
        <v>－</v>
      </c>
      <c r="X144" s="34">
        <f>19</f>
        <v>19</v>
      </c>
    </row>
    <row r="145" spans="1:24" x14ac:dyDescent="0.15">
      <c r="A145" s="25" t="s">
        <v>817</v>
      </c>
      <c r="B145" s="25" t="s">
        <v>466</v>
      </c>
      <c r="C145" s="25" t="s">
        <v>467</v>
      </c>
      <c r="D145" s="25" t="s">
        <v>468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14080</f>
        <v>14080</v>
      </c>
      <c r="L145" s="32" t="s">
        <v>811</v>
      </c>
      <c r="M145" s="31">
        <f>15600</f>
        <v>15600</v>
      </c>
      <c r="N145" s="32" t="s">
        <v>695</v>
      </c>
      <c r="O145" s="31">
        <f>14080</f>
        <v>14080</v>
      </c>
      <c r="P145" s="32" t="s">
        <v>811</v>
      </c>
      <c r="Q145" s="31">
        <f>14555</f>
        <v>14555</v>
      </c>
      <c r="R145" s="32" t="s">
        <v>818</v>
      </c>
      <c r="S145" s="33">
        <f>14779.74</f>
        <v>14779.74</v>
      </c>
      <c r="T145" s="30">
        <f>3443</f>
        <v>3443</v>
      </c>
      <c r="U145" s="30" t="str">
        <f t="shared" si="4"/>
        <v>－</v>
      </c>
      <c r="V145" s="30">
        <f>51395890</f>
        <v>51395890</v>
      </c>
      <c r="W145" s="30" t="str">
        <f t="shared" si="5"/>
        <v>－</v>
      </c>
      <c r="X145" s="34">
        <f>19</f>
        <v>19</v>
      </c>
    </row>
    <row r="146" spans="1:24" x14ac:dyDescent="0.15">
      <c r="A146" s="25" t="s">
        <v>817</v>
      </c>
      <c r="B146" s="25" t="s">
        <v>469</v>
      </c>
      <c r="C146" s="25" t="s">
        <v>470</v>
      </c>
      <c r="D146" s="25" t="s">
        <v>471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</v>
      </c>
      <c r="K146" s="31">
        <f>27945</f>
        <v>27945</v>
      </c>
      <c r="L146" s="32" t="s">
        <v>811</v>
      </c>
      <c r="M146" s="31">
        <f>28500</f>
        <v>28500</v>
      </c>
      <c r="N146" s="32" t="s">
        <v>810</v>
      </c>
      <c r="O146" s="31">
        <f>27150</f>
        <v>27150</v>
      </c>
      <c r="P146" s="32" t="s">
        <v>87</v>
      </c>
      <c r="Q146" s="31">
        <f>28075</f>
        <v>28075</v>
      </c>
      <c r="R146" s="32" t="s">
        <v>818</v>
      </c>
      <c r="S146" s="33">
        <f>27750</f>
        <v>27750</v>
      </c>
      <c r="T146" s="30">
        <f>1270</f>
        <v>1270</v>
      </c>
      <c r="U146" s="30" t="str">
        <f t="shared" si="4"/>
        <v>－</v>
      </c>
      <c r="V146" s="30">
        <f>35274150</f>
        <v>35274150</v>
      </c>
      <c r="W146" s="30" t="str">
        <f t="shared" si="5"/>
        <v>－</v>
      </c>
      <c r="X146" s="34">
        <f>19</f>
        <v>19</v>
      </c>
    </row>
    <row r="147" spans="1:24" x14ac:dyDescent="0.15">
      <c r="A147" s="25" t="s">
        <v>817</v>
      </c>
      <c r="B147" s="25" t="s">
        <v>472</v>
      </c>
      <c r="C147" s="25" t="s">
        <v>473</v>
      </c>
      <c r="D147" s="25" t="s">
        <v>474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1116</f>
        <v>1116</v>
      </c>
      <c r="L147" s="32" t="s">
        <v>811</v>
      </c>
      <c r="M147" s="31">
        <f>1184.5</f>
        <v>1184.5</v>
      </c>
      <c r="N147" s="32" t="s">
        <v>814</v>
      </c>
      <c r="O147" s="31">
        <f>1109</f>
        <v>1109</v>
      </c>
      <c r="P147" s="32" t="s">
        <v>811</v>
      </c>
      <c r="Q147" s="31">
        <f>1151</f>
        <v>1151</v>
      </c>
      <c r="R147" s="32" t="s">
        <v>818</v>
      </c>
      <c r="S147" s="33">
        <f>1155.92</f>
        <v>1155.92</v>
      </c>
      <c r="T147" s="30">
        <f>509480</f>
        <v>509480</v>
      </c>
      <c r="U147" s="30">
        <f>37230</f>
        <v>37230</v>
      </c>
      <c r="V147" s="30">
        <f>587621552</f>
        <v>587621552</v>
      </c>
      <c r="W147" s="30">
        <f>42725152</f>
        <v>42725152</v>
      </c>
      <c r="X147" s="34">
        <f>19</f>
        <v>19</v>
      </c>
    </row>
    <row r="148" spans="1:24" x14ac:dyDescent="0.15">
      <c r="A148" s="25" t="s">
        <v>817</v>
      </c>
      <c r="B148" s="25" t="s">
        <v>475</v>
      </c>
      <c r="C148" s="25" t="s">
        <v>476</v>
      </c>
      <c r="D148" s="25" t="s">
        <v>477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2500</f>
        <v>2500</v>
      </c>
      <c r="L148" s="32" t="s">
        <v>811</v>
      </c>
      <c r="M148" s="31">
        <f>2510.5</f>
        <v>2510.5</v>
      </c>
      <c r="N148" s="32" t="s">
        <v>810</v>
      </c>
      <c r="O148" s="31">
        <f>2231</f>
        <v>2231</v>
      </c>
      <c r="P148" s="32" t="s">
        <v>266</v>
      </c>
      <c r="Q148" s="31">
        <f>2244.5</f>
        <v>2244.5</v>
      </c>
      <c r="R148" s="32" t="s">
        <v>94</v>
      </c>
      <c r="S148" s="33">
        <f>2377.11</f>
        <v>2377.11</v>
      </c>
      <c r="T148" s="30">
        <f>7290</f>
        <v>7290</v>
      </c>
      <c r="U148" s="30" t="str">
        <f>"－"</f>
        <v>－</v>
      </c>
      <c r="V148" s="30">
        <f>17759340</f>
        <v>17759340</v>
      </c>
      <c r="W148" s="30" t="str">
        <f>"－"</f>
        <v>－</v>
      </c>
      <c r="X148" s="34">
        <f>14</f>
        <v>14</v>
      </c>
    </row>
    <row r="149" spans="1:24" x14ac:dyDescent="0.15">
      <c r="A149" s="25" t="s">
        <v>817</v>
      </c>
      <c r="B149" s="25" t="s">
        <v>478</v>
      </c>
      <c r="C149" s="25" t="s">
        <v>479</v>
      </c>
      <c r="D149" s="25" t="s">
        <v>480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2640</f>
        <v>2640</v>
      </c>
      <c r="L149" s="32" t="s">
        <v>811</v>
      </c>
      <c r="M149" s="31">
        <f>2681</f>
        <v>2681</v>
      </c>
      <c r="N149" s="32" t="s">
        <v>810</v>
      </c>
      <c r="O149" s="31">
        <f>2388</f>
        <v>2388</v>
      </c>
      <c r="P149" s="32" t="s">
        <v>266</v>
      </c>
      <c r="Q149" s="31">
        <f>2443.5</f>
        <v>2443.5</v>
      </c>
      <c r="R149" s="32" t="s">
        <v>94</v>
      </c>
      <c r="S149" s="33">
        <f>2542.34</f>
        <v>2542.34</v>
      </c>
      <c r="T149" s="30">
        <f>56880</f>
        <v>56880</v>
      </c>
      <c r="U149" s="30">
        <f>40</f>
        <v>40</v>
      </c>
      <c r="V149" s="30">
        <f>145932410</f>
        <v>145932410</v>
      </c>
      <c r="W149" s="30">
        <f>98400</f>
        <v>98400</v>
      </c>
      <c r="X149" s="34">
        <f>16</f>
        <v>16</v>
      </c>
    </row>
    <row r="150" spans="1:24" x14ac:dyDescent="0.15">
      <c r="A150" s="25" t="s">
        <v>817</v>
      </c>
      <c r="B150" s="25" t="s">
        <v>481</v>
      </c>
      <c r="C150" s="25" t="s">
        <v>482</v>
      </c>
      <c r="D150" s="25" t="s">
        <v>483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1600</f>
        <v>1600</v>
      </c>
      <c r="L150" s="32" t="s">
        <v>811</v>
      </c>
      <c r="M150" s="31">
        <f>1612</f>
        <v>1612</v>
      </c>
      <c r="N150" s="32" t="s">
        <v>810</v>
      </c>
      <c r="O150" s="31">
        <f>1464</f>
        <v>1464</v>
      </c>
      <c r="P150" s="32" t="s">
        <v>266</v>
      </c>
      <c r="Q150" s="31">
        <f>1504</f>
        <v>1504</v>
      </c>
      <c r="R150" s="32" t="s">
        <v>818</v>
      </c>
      <c r="S150" s="33">
        <f>1546.35</f>
        <v>1546.35</v>
      </c>
      <c r="T150" s="30">
        <f>2220</f>
        <v>2220</v>
      </c>
      <c r="U150" s="30" t="str">
        <f>"－"</f>
        <v>－</v>
      </c>
      <c r="V150" s="30">
        <f>3422055</f>
        <v>3422055</v>
      </c>
      <c r="W150" s="30" t="str">
        <f>"－"</f>
        <v>－</v>
      </c>
      <c r="X150" s="34">
        <f>17</f>
        <v>17</v>
      </c>
    </row>
    <row r="151" spans="1:24" x14ac:dyDescent="0.15">
      <c r="A151" s="25" t="s">
        <v>817</v>
      </c>
      <c r="B151" s="25" t="s">
        <v>484</v>
      </c>
      <c r="C151" s="25" t="s">
        <v>485</v>
      </c>
      <c r="D151" s="25" t="s">
        <v>486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3975</f>
        <v>3975</v>
      </c>
      <c r="L151" s="32" t="s">
        <v>811</v>
      </c>
      <c r="M151" s="31">
        <f>4000</f>
        <v>4000</v>
      </c>
      <c r="N151" s="32" t="s">
        <v>811</v>
      </c>
      <c r="O151" s="31">
        <f>3525</f>
        <v>3525</v>
      </c>
      <c r="P151" s="32" t="s">
        <v>266</v>
      </c>
      <c r="Q151" s="31">
        <f>3690</f>
        <v>3690</v>
      </c>
      <c r="R151" s="32" t="s">
        <v>818</v>
      </c>
      <c r="S151" s="33">
        <f>3775.53</f>
        <v>3775.53</v>
      </c>
      <c r="T151" s="30">
        <f>12687252</f>
        <v>12687252</v>
      </c>
      <c r="U151" s="30">
        <f>5639300</f>
        <v>5639300</v>
      </c>
      <c r="V151" s="30">
        <f>48352190182</f>
        <v>48352190182</v>
      </c>
      <c r="W151" s="30">
        <f>21813572132</f>
        <v>21813572132</v>
      </c>
      <c r="X151" s="34">
        <f>19</f>
        <v>19</v>
      </c>
    </row>
    <row r="152" spans="1:24" x14ac:dyDescent="0.15">
      <c r="A152" s="25" t="s">
        <v>817</v>
      </c>
      <c r="B152" s="25" t="s">
        <v>487</v>
      </c>
      <c r="C152" s="25" t="s">
        <v>488</v>
      </c>
      <c r="D152" s="25" t="s">
        <v>489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2715</f>
        <v>2715</v>
      </c>
      <c r="L152" s="32" t="s">
        <v>811</v>
      </c>
      <c r="M152" s="31">
        <f>2733</f>
        <v>2733</v>
      </c>
      <c r="N152" s="32" t="s">
        <v>810</v>
      </c>
      <c r="O152" s="31">
        <f>2623</f>
        <v>2623</v>
      </c>
      <c r="P152" s="32" t="s">
        <v>816</v>
      </c>
      <c r="Q152" s="31">
        <f>2670</f>
        <v>2670</v>
      </c>
      <c r="R152" s="32" t="s">
        <v>818</v>
      </c>
      <c r="S152" s="33">
        <f>2662.26</f>
        <v>2662.26</v>
      </c>
      <c r="T152" s="30">
        <f>1693496</f>
        <v>1693496</v>
      </c>
      <c r="U152" s="30">
        <f>825800</f>
        <v>825800</v>
      </c>
      <c r="V152" s="30">
        <f>4491836549</f>
        <v>4491836549</v>
      </c>
      <c r="W152" s="30">
        <f>2184164121</f>
        <v>2184164121</v>
      </c>
      <c r="X152" s="34">
        <f>19</f>
        <v>19</v>
      </c>
    </row>
    <row r="153" spans="1:24" x14ac:dyDescent="0.15">
      <c r="A153" s="25" t="s">
        <v>817</v>
      </c>
      <c r="B153" s="25" t="s">
        <v>490</v>
      </c>
      <c r="C153" s="25" t="s">
        <v>491</v>
      </c>
      <c r="D153" s="25" t="s">
        <v>492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3455</f>
        <v>3455</v>
      </c>
      <c r="L153" s="32" t="s">
        <v>811</v>
      </c>
      <c r="M153" s="31">
        <f>3490</f>
        <v>3490</v>
      </c>
      <c r="N153" s="32" t="s">
        <v>811</v>
      </c>
      <c r="O153" s="31">
        <f>3105</f>
        <v>3105</v>
      </c>
      <c r="P153" s="32" t="s">
        <v>266</v>
      </c>
      <c r="Q153" s="31">
        <f>3235</f>
        <v>3235</v>
      </c>
      <c r="R153" s="32" t="s">
        <v>818</v>
      </c>
      <c r="S153" s="33">
        <f>3316.58</f>
        <v>3316.58</v>
      </c>
      <c r="T153" s="30">
        <f>115616</f>
        <v>115616</v>
      </c>
      <c r="U153" s="30">
        <f>1470</f>
        <v>1470</v>
      </c>
      <c r="V153" s="30">
        <f>378341520</f>
        <v>378341520</v>
      </c>
      <c r="W153" s="30">
        <f>5047245</f>
        <v>5047245</v>
      </c>
      <c r="X153" s="34">
        <f>19</f>
        <v>19</v>
      </c>
    </row>
    <row r="154" spans="1:24" x14ac:dyDescent="0.15">
      <c r="A154" s="25" t="s">
        <v>817</v>
      </c>
      <c r="B154" s="25" t="s">
        <v>493</v>
      </c>
      <c r="C154" s="25" t="s">
        <v>494</v>
      </c>
      <c r="D154" s="25" t="s">
        <v>495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2357</f>
        <v>2357</v>
      </c>
      <c r="L154" s="32" t="s">
        <v>811</v>
      </c>
      <c r="M154" s="31">
        <f>2426</f>
        <v>2426</v>
      </c>
      <c r="N154" s="32" t="s">
        <v>56</v>
      </c>
      <c r="O154" s="31">
        <f>2231</f>
        <v>2231</v>
      </c>
      <c r="P154" s="32" t="s">
        <v>266</v>
      </c>
      <c r="Q154" s="31">
        <f>2303</f>
        <v>2303</v>
      </c>
      <c r="R154" s="32" t="s">
        <v>818</v>
      </c>
      <c r="S154" s="33">
        <f>2343.26</f>
        <v>2343.2600000000002</v>
      </c>
      <c r="T154" s="30">
        <f>59156</f>
        <v>59156</v>
      </c>
      <c r="U154" s="30" t="str">
        <f>"－"</f>
        <v>－</v>
      </c>
      <c r="V154" s="30">
        <f>138587381</f>
        <v>138587381</v>
      </c>
      <c r="W154" s="30" t="str">
        <f>"－"</f>
        <v>－</v>
      </c>
      <c r="X154" s="34">
        <f>19</f>
        <v>19</v>
      </c>
    </row>
    <row r="155" spans="1:24" x14ac:dyDescent="0.15">
      <c r="A155" s="25" t="s">
        <v>817</v>
      </c>
      <c r="B155" s="25" t="s">
        <v>496</v>
      </c>
      <c r="C155" s="25" t="s">
        <v>497</v>
      </c>
      <c r="D155" s="25" t="s">
        <v>498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2915</f>
        <v>2915</v>
      </c>
      <c r="L155" s="32" t="s">
        <v>811</v>
      </c>
      <c r="M155" s="31">
        <f>2940</f>
        <v>2940</v>
      </c>
      <c r="N155" s="32" t="s">
        <v>810</v>
      </c>
      <c r="O155" s="31">
        <f>2605</f>
        <v>2605</v>
      </c>
      <c r="P155" s="32" t="s">
        <v>266</v>
      </c>
      <c r="Q155" s="31">
        <f>2703</f>
        <v>2703</v>
      </c>
      <c r="R155" s="32" t="s">
        <v>818</v>
      </c>
      <c r="S155" s="33">
        <f>2765.21</f>
        <v>2765.21</v>
      </c>
      <c r="T155" s="30">
        <f>705510</f>
        <v>705510</v>
      </c>
      <c r="U155" s="30">
        <f>230982</f>
        <v>230982</v>
      </c>
      <c r="V155" s="30">
        <f>1951640134</f>
        <v>1951640134</v>
      </c>
      <c r="W155" s="30">
        <f>627816813</f>
        <v>627816813</v>
      </c>
      <c r="X155" s="34">
        <f>19</f>
        <v>19</v>
      </c>
    </row>
    <row r="156" spans="1:24" x14ac:dyDescent="0.15">
      <c r="A156" s="25" t="s">
        <v>817</v>
      </c>
      <c r="B156" s="25" t="s">
        <v>499</v>
      </c>
      <c r="C156" s="25" t="s">
        <v>500</v>
      </c>
      <c r="D156" s="25" t="s">
        <v>501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11480</f>
        <v>11480</v>
      </c>
      <c r="L156" s="32" t="s">
        <v>811</v>
      </c>
      <c r="M156" s="31">
        <f>11640</f>
        <v>11640</v>
      </c>
      <c r="N156" s="32" t="s">
        <v>811</v>
      </c>
      <c r="O156" s="31">
        <f>10015</f>
        <v>10015</v>
      </c>
      <c r="P156" s="32" t="s">
        <v>66</v>
      </c>
      <c r="Q156" s="31">
        <f>10960</f>
        <v>10960</v>
      </c>
      <c r="R156" s="32" t="s">
        <v>818</v>
      </c>
      <c r="S156" s="33">
        <f>10987.11</f>
        <v>10987.11</v>
      </c>
      <c r="T156" s="30">
        <f>31064</f>
        <v>31064</v>
      </c>
      <c r="U156" s="30" t="str">
        <f>"－"</f>
        <v>－</v>
      </c>
      <c r="V156" s="30">
        <f>341595165</f>
        <v>341595165</v>
      </c>
      <c r="W156" s="30" t="str">
        <f>"－"</f>
        <v>－</v>
      </c>
      <c r="X156" s="34">
        <f>19</f>
        <v>19</v>
      </c>
    </row>
    <row r="157" spans="1:24" x14ac:dyDescent="0.15">
      <c r="A157" s="25" t="s">
        <v>817</v>
      </c>
      <c r="B157" s="25" t="s">
        <v>502</v>
      </c>
      <c r="C157" s="25" t="s">
        <v>503</v>
      </c>
      <c r="D157" s="25" t="s">
        <v>504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1770</f>
        <v>1770</v>
      </c>
      <c r="L157" s="32" t="s">
        <v>811</v>
      </c>
      <c r="M157" s="31">
        <f>2045</f>
        <v>2045</v>
      </c>
      <c r="N157" s="32" t="s">
        <v>818</v>
      </c>
      <c r="O157" s="31">
        <f>1766</f>
        <v>1766</v>
      </c>
      <c r="P157" s="32" t="s">
        <v>811</v>
      </c>
      <c r="Q157" s="31">
        <f>2034</f>
        <v>2034</v>
      </c>
      <c r="R157" s="32" t="s">
        <v>818</v>
      </c>
      <c r="S157" s="33">
        <f>1917.68</f>
        <v>1917.68</v>
      </c>
      <c r="T157" s="30">
        <f>18859385</f>
        <v>18859385</v>
      </c>
      <c r="U157" s="30">
        <f>7071</f>
        <v>7071</v>
      </c>
      <c r="V157" s="30">
        <f>36343332964</f>
        <v>36343332964</v>
      </c>
      <c r="W157" s="30">
        <f>13385736</f>
        <v>13385736</v>
      </c>
      <c r="X157" s="34">
        <f>19</f>
        <v>19</v>
      </c>
    </row>
    <row r="158" spans="1:24" x14ac:dyDescent="0.15">
      <c r="A158" s="25" t="s">
        <v>817</v>
      </c>
      <c r="B158" s="25" t="s">
        <v>505</v>
      </c>
      <c r="C158" s="25" t="s">
        <v>506</v>
      </c>
      <c r="D158" s="25" t="s">
        <v>507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19500</f>
        <v>19500</v>
      </c>
      <c r="L158" s="32" t="s">
        <v>811</v>
      </c>
      <c r="M158" s="31">
        <f>19910</f>
        <v>19910</v>
      </c>
      <c r="N158" s="32" t="s">
        <v>812</v>
      </c>
      <c r="O158" s="31">
        <f>19265</f>
        <v>19265</v>
      </c>
      <c r="P158" s="32" t="s">
        <v>70</v>
      </c>
      <c r="Q158" s="31">
        <f>19475</f>
        <v>19475</v>
      </c>
      <c r="R158" s="32" t="s">
        <v>818</v>
      </c>
      <c r="S158" s="33">
        <f>19670</f>
        <v>19670</v>
      </c>
      <c r="T158" s="30">
        <f>1898</f>
        <v>1898</v>
      </c>
      <c r="U158" s="30" t="str">
        <f t="shared" ref="U158:U163" si="6">"－"</f>
        <v>－</v>
      </c>
      <c r="V158" s="30">
        <f>37291335</f>
        <v>37291335</v>
      </c>
      <c r="W158" s="30" t="str">
        <f t="shared" ref="W158:W163" si="7">"－"</f>
        <v>－</v>
      </c>
      <c r="X158" s="34">
        <f>19</f>
        <v>19</v>
      </c>
    </row>
    <row r="159" spans="1:24" x14ac:dyDescent="0.15">
      <c r="A159" s="25" t="s">
        <v>817</v>
      </c>
      <c r="B159" s="25" t="s">
        <v>508</v>
      </c>
      <c r="C159" s="25" t="s">
        <v>509</v>
      </c>
      <c r="D159" s="25" t="s">
        <v>510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2435.5</f>
        <v>2435.5</v>
      </c>
      <c r="L159" s="32" t="s">
        <v>811</v>
      </c>
      <c r="M159" s="31">
        <f>2580</f>
        <v>2580</v>
      </c>
      <c r="N159" s="32" t="s">
        <v>66</v>
      </c>
      <c r="O159" s="31">
        <f>2384.5</f>
        <v>2384.5</v>
      </c>
      <c r="P159" s="32" t="s">
        <v>70</v>
      </c>
      <c r="Q159" s="31">
        <f>2393.5</f>
        <v>2393.5</v>
      </c>
      <c r="R159" s="32" t="s">
        <v>818</v>
      </c>
      <c r="S159" s="33">
        <f>2475.45</f>
        <v>2475.4499999999998</v>
      </c>
      <c r="T159" s="30">
        <f>25820</f>
        <v>25820</v>
      </c>
      <c r="U159" s="30" t="str">
        <f t="shared" si="6"/>
        <v>－</v>
      </c>
      <c r="V159" s="30">
        <f>64588965</f>
        <v>64588965</v>
      </c>
      <c r="W159" s="30" t="str">
        <f t="shared" si="7"/>
        <v>－</v>
      </c>
      <c r="X159" s="34">
        <f>19</f>
        <v>19</v>
      </c>
    </row>
    <row r="160" spans="1:24" x14ac:dyDescent="0.15">
      <c r="A160" s="25" t="s">
        <v>817</v>
      </c>
      <c r="B160" s="25" t="s">
        <v>511</v>
      </c>
      <c r="C160" s="25" t="s">
        <v>512</v>
      </c>
      <c r="D160" s="25" t="s">
        <v>513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10290</f>
        <v>10290</v>
      </c>
      <c r="L160" s="32" t="s">
        <v>811</v>
      </c>
      <c r="M160" s="31">
        <f>11095</f>
        <v>11095</v>
      </c>
      <c r="N160" s="32" t="s">
        <v>94</v>
      </c>
      <c r="O160" s="31">
        <f>10050</f>
        <v>10050</v>
      </c>
      <c r="P160" s="32" t="s">
        <v>821</v>
      </c>
      <c r="Q160" s="31">
        <f>10805</f>
        <v>10805</v>
      </c>
      <c r="R160" s="32" t="s">
        <v>818</v>
      </c>
      <c r="S160" s="33">
        <f>10618.16</f>
        <v>10618.16</v>
      </c>
      <c r="T160" s="30">
        <f>2909</f>
        <v>2909</v>
      </c>
      <c r="U160" s="30" t="str">
        <f t="shared" si="6"/>
        <v>－</v>
      </c>
      <c r="V160" s="30">
        <f>31163785</f>
        <v>31163785</v>
      </c>
      <c r="W160" s="30" t="str">
        <f t="shared" si="7"/>
        <v>－</v>
      </c>
      <c r="X160" s="34">
        <f>19</f>
        <v>19</v>
      </c>
    </row>
    <row r="161" spans="1:24" x14ac:dyDescent="0.15">
      <c r="A161" s="25" t="s">
        <v>817</v>
      </c>
      <c r="B161" s="25" t="s">
        <v>514</v>
      </c>
      <c r="C161" s="25" t="s">
        <v>515</v>
      </c>
      <c r="D161" s="25" t="s">
        <v>516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19955</f>
        <v>19955</v>
      </c>
      <c r="L161" s="32" t="s">
        <v>811</v>
      </c>
      <c r="M161" s="31">
        <f>25770</f>
        <v>25770</v>
      </c>
      <c r="N161" s="32" t="s">
        <v>94</v>
      </c>
      <c r="O161" s="31">
        <f>19605</f>
        <v>19605</v>
      </c>
      <c r="P161" s="32" t="s">
        <v>811</v>
      </c>
      <c r="Q161" s="31">
        <f>25210</f>
        <v>25210</v>
      </c>
      <c r="R161" s="32" t="s">
        <v>818</v>
      </c>
      <c r="S161" s="33">
        <f>21425.53</f>
        <v>21425.53</v>
      </c>
      <c r="T161" s="30">
        <f>7485</f>
        <v>7485</v>
      </c>
      <c r="U161" s="30" t="str">
        <f t="shared" si="6"/>
        <v>－</v>
      </c>
      <c r="V161" s="30">
        <f>169357270</f>
        <v>169357270</v>
      </c>
      <c r="W161" s="30" t="str">
        <f t="shared" si="7"/>
        <v>－</v>
      </c>
      <c r="X161" s="34">
        <f>19</f>
        <v>19</v>
      </c>
    </row>
    <row r="162" spans="1:24" x14ac:dyDescent="0.15">
      <c r="A162" s="25" t="s">
        <v>817</v>
      </c>
      <c r="B162" s="25" t="s">
        <v>517</v>
      </c>
      <c r="C162" s="25" t="s">
        <v>518</v>
      </c>
      <c r="D162" s="25" t="s">
        <v>519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</v>
      </c>
      <c r="K162" s="31">
        <f>16175</f>
        <v>16175</v>
      </c>
      <c r="L162" s="32" t="s">
        <v>811</v>
      </c>
      <c r="M162" s="31">
        <f>17000</f>
        <v>17000</v>
      </c>
      <c r="N162" s="32" t="s">
        <v>266</v>
      </c>
      <c r="O162" s="31">
        <f>15800</f>
        <v>15800</v>
      </c>
      <c r="P162" s="32" t="s">
        <v>814</v>
      </c>
      <c r="Q162" s="31">
        <f>17000</f>
        <v>17000</v>
      </c>
      <c r="R162" s="32" t="s">
        <v>266</v>
      </c>
      <c r="S162" s="33">
        <f>16265</f>
        <v>16265</v>
      </c>
      <c r="T162" s="30">
        <f>132</f>
        <v>132</v>
      </c>
      <c r="U162" s="30" t="str">
        <f t="shared" si="6"/>
        <v>－</v>
      </c>
      <c r="V162" s="30">
        <f>2175890</f>
        <v>2175890</v>
      </c>
      <c r="W162" s="30" t="str">
        <f t="shared" si="7"/>
        <v>－</v>
      </c>
      <c r="X162" s="34">
        <f>8</f>
        <v>8</v>
      </c>
    </row>
    <row r="163" spans="1:24" x14ac:dyDescent="0.15">
      <c r="A163" s="25" t="s">
        <v>817</v>
      </c>
      <c r="B163" s="25" t="s">
        <v>520</v>
      </c>
      <c r="C163" s="25" t="s">
        <v>521</v>
      </c>
      <c r="D163" s="25" t="s">
        <v>522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52080</f>
        <v>52080</v>
      </c>
      <c r="L163" s="32" t="s">
        <v>811</v>
      </c>
      <c r="M163" s="31">
        <f>52300</f>
        <v>52300</v>
      </c>
      <c r="N163" s="32" t="s">
        <v>810</v>
      </c>
      <c r="O163" s="31">
        <f>50750</f>
        <v>50750</v>
      </c>
      <c r="P163" s="32" t="s">
        <v>266</v>
      </c>
      <c r="Q163" s="31">
        <f>51100</f>
        <v>51100</v>
      </c>
      <c r="R163" s="32" t="s">
        <v>818</v>
      </c>
      <c r="S163" s="33">
        <f>51352.63</f>
        <v>51352.63</v>
      </c>
      <c r="T163" s="30">
        <f>5290</f>
        <v>5290</v>
      </c>
      <c r="U163" s="30" t="str">
        <f t="shared" si="6"/>
        <v>－</v>
      </c>
      <c r="V163" s="30">
        <f>272122100</f>
        <v>272122100</v>
      </c>
      <c r="W163" s="30" t="str">
        <f t="shared" si="7"/>
        <v>－</v>
      </c>
      <c r="X163" s="34">
        <f>19</f>
        <v>19</v>
      </c>
    </row>
    <row r="164" spans="1:24" x14ac:dyDescent="0.15">
      <c r="A164" s="25" t="s">
        <v>817</v>
      </c>
      <c r="B164" s="25" t="s">
        <v>523</v>
      </c>
      <c r="C164" s="25" t="s">
        <v>524</v>
      </c>
      <c r="D164" s="25" t="s">
        <v>525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100</v>
      </c>
      <c r="K164" s="31">
        <f>242.6</f>
        <v>242.6</v>
      </c>
      <c r="L164" s="32" t="s">
        <v>811</v>
      </c>
      <c r="M164" s="31">
        <f>252.6</f>
        <v>252.6</v>
      </c>
      <c r="N164" s="32" t="s">
        <v>56</v>
      </c>
      <c r="O164" s="31">
        <f>226.1</f>
        <v>226.1</v>
      </c>
      <c r="P164" s="32" t="s">
        <v>266</v>
      </c>
      <c r="Q164" s="31">
        <f>235.5</f>
        <v>235.5</v>
      </c>
      <c r="R164" s="32" t="s">
        <v>818</v>
      </c>
      <c r="S164" s="33">
        <f>241.91</f>
        <v>241.91</v>
      </c>
      <c r="T164" s="30">
        <f>20740500</f>
        <v>20740500</v>
      </c>
      <c r="U164" s="30">
        <f>901500</f>
        <v>901500</v>
      </c>
      <c r="V164" s="30">
        <f>5022505300</f>
        <v>5022505300</v>
      </c>
      <c r="W164" s="30">
        <f>226158910</f>
        <v>226158910</v>
      </c>
      <c r="X164" s="34">
        <f>19</f>
        <v>19</v>
      </c>
    </row>
    <row r="165" spans="1:24" x14ac:dyDescent="0.15">
      <c r="A165" s="25" t="s">
        <v>817</v>
      </c>
      <c r="B165" s="25" t="s">
        <v>526</v>
      </c>
      <c r="C165" s="25" t="s">
        <v>527</v>
      </c>
      <c r="D165" s="25" t="s">
        <v>528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36900</f>
        <v>36900</v>
      </c>
      <c r="L165" s="32" t="s">
        <v>811</v>
      </c>
      <c r="M165" s="31">
        <f>36900</f>
        <v>36900</v>
      </c>
      <c r="N165" s="32" t="s">
        <v>811</v>
      </c>
      <c r="O165" s="31">
        <f>33320</f>
        <v>33320</v>
      </c>
      <c r="P165" s="32" t="s">
        <v>815</v>
      </c>
      <c r="Q165" s="31">
        <f>35020</f>
        <v>35020</v>
      </c>
      <c r="R165" s="32" t="s">
        <v>818</v>
      </c>
      <c r="S165" s="33">
        <f>35162.63</f>
        <v>35162.629999999997</v>
      </c>
      <c r="T165" s="30">
        <f>78460</f>
        <v>78460</v>
      </c>
      <c r="U165" s="30">
        <f>61680</f>
        <v>61680</v>
      </c>
      <c r="V165" s="30">
        <f>2691120697</f>
        <v>2691120697</v>
      </c>
      <c r="W165" s="30">
        <f>2106650397</f>
        <v>2106650397</v>
      </c>
      <c r="X165" s="34">
        <f>19</f>
        <v>19</v>
      </c>
    </row>
    <row r="166" spans="1:24" x14ac:dyDescent="0.15">
      <c r="A166" s="25" t="s">
        <v>817</v>
      </c>
      <c r="B166" s="25" t="s">
        <v>529</v>
      </c>
      <c r="C166" s="25" t="s">
        <v>530</v>
      </c>
      <c r="D166" s="25" t="s">
        <v>531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3999</f>
        <v>3999</v>
      </c>
      <c r="L166" s="32" t="s">
        <v>811</v>
      </c>
      <c r="M166" s="31">
        <f>4034</f>
        <v>4034</v>
      </c>
      <c r="N166" s="32" t="s">
        <v>810</v>
      </c>
      <c r="O166" s="31">
        <f>3516</f>
        <v>3516</v>
      </c>
      <c r="P166" s="32" t="s">
        <v>266</v>
      </c>
      <c r="Q166" s="31">
        <f>3669</f>
        <v>3669</v>
      </c>
      <c r="R166" s="32" t="s">
        <v>818</v>
      </c>
      <c r="S166" s="33">
        <f>3785.11</f>
        <v>3785.11</v>
      </c>
      <c r="T166" s="30">
        <f>219340</f>
        <v>219340</v>
      </c>
      <c r="U166" s="30">
        <f>10</f>
        <v>10</v>
      </c>
      <c r="V166" s="30">
        <f>825530570</f>
        <v>825530570</v>
      </c>
      <c r="W166" s="30">
        <f>37490</f>
        <v>37490</v>
      </c>
      <c r="X166" s="34">
        <f>19</f>
        <v>19</v>
      </c>
    </row>
    <row r="167" spans="1:24" x14ac:dyDescent="0.15">
      <c r="A167" s="25" t="s">
        <v>817</v>
      </c>
      <c r="B167" s="25" t="s">
        <v>532</v>
      </c>
      <c r="C167" s="25" t="s">
        <v>533</v>
      </c>
      <c r="D167" s="25" t="s">
        <v>534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1800</f>
        <v>1800</v>
      </c>
      <c r="L167" s="32" t="s">
        <v>811</v>
      </c>
      <c r="M167" s="31">
        <f>1853</f>
        <v>1853</v>
      </c>
      <c r="N167" s="32" t="s">
        <v>56</v>
      </c>
      <c r="O167" s="31">
        <f>1680</f>
        <v>1680</v>
      </c>
      <c r="P167" s="32" t="s">
        <v>266</v>
      </c>
      <c r="Q167" s="31">
        <f>1727</f>
        <v>1727</v>
      </c>
      <c r="R167" s="32" t="s">
        <v>818</v>
      </c>
      <c r="S167" s="33">
        <f>1774.74</f>
        <v>1774.74</v>
      </c>
      <c r="T167" s="30">
        <f>160700</f>
        <v>160700</v>
      </c>
      <c r="U167" s="30" t="str">
        <f t="shared" ref="U167:U173" si="8">"－"</f>
        <v>－</v>
      </c>
      <c r="V167" s="30">
        <f>279862005</f>
        <v>279862005</v>
      </c>
      <c r="W167" s="30" t="str">
        <f t="shared" ref="W167:W173" si="9">"－"</f>
        <v>－</v>
      </c>
      <c r="X167" s="34">
        <f>19</f>
        <v>19</v>
      </c>
    </row>
    <row r="168" spans="1:24" x14ac:dyDescent="0.15">
      <c r="A168" s="25" t="s">
        <v>817</v>
      </c>
      <c r="B168" s="25" t="s">
        <v>535</v>
      </c>
      <c r="C168" s="25" t="s">
        <v>536</v>
      </c>
      <c r="D168" s="25" t="s">
        <v>537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100</v>
      </c>
      <c r="K168" s="31">
        <f>188.8</f>
        <v>188.8</v>
      </c>
      <c r="L168" s="32" t="s">
        <v>811</v>
      </c>
      <c r="M168" s="31">
        <f>201</f>
        <v>201</v>
      </c>
      <c r="N168" s="32" t="s">
        <v>66</v>
      </c>
      <c r="O168" s="31">
        <f>184.9</f>
        <v>184.9</v>
      </c>
      <c r="P168" s="32" t="s">
        <v>811</v>
      </c>
      <c r="Q168" s="31">
        <f>194.7</f>
        <v>194.7</v>
      </c>
      <c r="R168" s="32" t="s">
        <v>818</v>
      </c>
      <c r="S168" s="33">
        <f>193.01</f>
        <v>193.01</v>
      </c>
      <c r="T168" s="30">
        <f>376500</f>
        <v>376500</v>
      </c>
      <c r="U168" s="30" t="str">
        <f t="shared" si="8"/>
        <v>－</v>
      </c>
      <c r="V168" s="30">
        <f>72949750</f>
        <v>72949750</v>
      </c>
      <c r="W168" s="30" t="str">
        <f t="shared" si="9"/>
        <v>－</v>
      </c>
      <c r="X168" s="34">
        <f>19</f>
        <v>19</v>
      </c>
    </row>
    <row r="169" spans="1:24" x14ac:dyDescent="0.15">
      <c r="A169" s="25" t="s">
        <v>817</v>
      </c>
      <c r="B169" s="25" t="s">
        <v>538</v>
      </c>
      <c r="C169" s="25" t="s">
        <v>539</v>
      </c>
      <c r="D169" s="25" t="s">
        <v>540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1158.5</f>
        <v>1158.5</v>
      </c>
      <c r="L169" s="32" t="s">
        <v>811</v>
      </c>
      <c r="M169" s="31">
        <f>1305</f>
        <v>1305</v>
      </c>
      <c r="N169" s="32" t="s">
        <v>818</v>
      </c>
      <c r="O169" s="31">
        <f>1158.5</f>
        <v>1158.5</v>
      </c>
      <c r="P169" s="32" t="s">
        <v>811</v>
      </c>
      <c r="Q169" s="31">
        <f>1305</f>
        <v>1305</v>
      </c>
      <c r="R169" s="32" t="s">
        <v>818</v>
      </c>
      <c r="S169" s="33">
        <f>1222.91</f>
        <v>1222.9100000000001</v>
      </c>
      <c r="T169" s="30">
        <f>1450</f>
        <v>1450</v>
      </c>
      <c r="U169" s="30" t="str">
        <f t="shared" si="8"/>
        <v>－</v>
      </c>
      <c r="V169" s="30">
        <f>1763465</f>
        <v>1763465</v>
      </c>
      <c r="W169" s="30" t="str">
        <f t="shared" si="9"/>
        <v>－</v>
      </c>
      <c r="X169" s="34">
        <f>11</f>
        <v>11</v>
      </c>
    </row>
    <row r="170" spans="1:24" x14ac:dyDescent="0.15">
      <c r="A170" s="25" t="s">
        <v>817</v>
      </c>
      <c r="B170" s="25" t="s">
        <v>541</v>
      </c>
      <c r="C170" s="25" t="s">
        <v>542</v>
      </c>
      <c r="D170" s="25" t="s">
        <v>543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386.2</f>
        <v>386.2</v>
      </c>
      <c r="L170" s="32" t="s">
        <v>811</v>
      </c>
      <c r="M170" s="31">
        <f>516.2</f>
        <v>516.20000000000005</v>
      </c>
      <c r="N170" s="32" t="s">
        <v>94</v>
      </c>
      <c r="O170" s="31">
        <f>386.2</f>
        <v>386.2</v>
      </c>
      <c r="P170" s="32" t="s">
        <v>811</v>
      </c>
      <c r="Q170" s="31">
        <f>485</f>
        <v>485</v>
      </c>
      <c r="R170" s="32" t="s">
        <v>818</v>
      </c>
      <c r="S170" s="33">
        <f>420.25</f>
        <v>420.25</v>
      </c>
      <c r="T170" s="30">
        <f>98370</f>
        <v>98370</v>
      </c>
      <c r="U170" s="30" t="str">
        <f t="shared" si="8"/>
        <v>－</v>
      </c>
      <c r="V170" s="30">
        <f>43613955</f>
        <v>43613955</v>
      </c>
      <c r="W170" s="30" t="str">
        <f t="shared" si="9"/>
        <v>－</v>
      </c>
      <c r="X170" s="34">
        <f>19</f>
        <v>19</v>
      </c>
    </row>
    <row r="171" spans="1:24" x14ac:dyDescent="0.15">
      <c r="A171" s="25" t="s">
        <v>817</v>
      </c>
      <c r="B171" s="25" t="s">
        <v>544</v>
      </c>
      <c r="C171" s="25" t="s">
        <v>545</v>
      </c>
      <c r="D171" s="25" t="s">
        <v>546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1949.5</f>
        <v>1949.5</v>
      </c>
      <c r="L171" s="32" t="s">
        <v>811</v>
      </c>
      <c r="M171" s="31">
        <f>2084</f>
        <v>2084</v>
      </c>
      <c r="N171" s="32" t="s">
        <v>66</v>
      </c>
      <c r="O171" s="31">
        <f>1905.5</f>
        <v>1905.5</v>
      </c>
      <c r="P171" s="32" t="s">
        <v>811</v>
      </c>
      <c r="Q171" s="31">
        <f>2020</f>
        <v>2020</v>
      </c>
      <c r="R171" s="32" t="s">
        <v>818</v>
      </c>
      <c r="S171" s="33">
        <f>1999.29</f>
        <v>1999.29</v>
      </c>
      <c r="T171" s="30">
        <f>10320</f>
        <v>10320</v>
      </c>
      <c r="U171" s="30" t="str">
        <f t="shared" si="8"/>
        <v>－</v>
      </c>
      <c r="V171" s="30">
        <f>20637645</f>
        <v>20637645</v>
      </c>
      <c r="W171" s="30" t="str">
        <f t="shared" si="9"/>
        <v>－</v>
      </c>
      <c r="X171" s="34">
        <f>19</f>
        <v>19</v>
      </c>
    </row>
    <row r="172" spans="1:24" x14ac:dyDescent="0.15">
      <c r="A172" s="25" t="s">
        <v>817</v>
      </c>
      <c r="B172" s="25" t="s">
        <v>547</v>
      </c>
      <c r="C172" s="25" t="s">
        <v>548</v>
      </c>
      <c r="D172" s="25" t="s">
        <v>549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684.3</f>
        <v>684.3</v>
      </c>
      <c r="L172" s="32" t="s">
        <v>811</v>
      </c>
      <c r="M172" s="31">
        <f>828</f>
        <v>828</v>
      </c>
      <c r="N172" s="32" t="s">
        <v>266</v>
      </c>
      <c r="O172" s="31">
        <f>668.5</f>
        <v>668.5</v>
      </c>
      <c r="P172" s="32" t="s">
        <v>695</v>
      </c>
      <c r="Q172" s="31">
        <f>769.6</f>
        <v>769.6</v>
      </c>
      <c r="R172" s="32" t="s">
        <v>818</v>
      </c>
      <c r="S172" s="33">
        <f>708.06</f>
        <v>708.06</v>
      </c>
      <c r="T172" s="30">
        <f>238210</f>
        <v>238210</v>
      </c>
      <c r="U172" s="30" t="str">
        <f t="shared" si="8"/>
        <v>－</v>
      </c>
      <c r="V172" s="30">
        <f>172530091</f>
        <v>172530091</v>
      </c>
      <c r="W172" s="30" t="str">
        <f t="shared" si="9"/>
        <v>－</v>
      </c>
      <c r="X172" s="34">
        <f>19</f>
        <v>19</v>
      </c>
    </row>
    <row r="173" spans="1:24" x14ac:dyDescent="0.15">
      <c r="A173" s="25" t="s">
        <v>817</v>
      </c>
      <c r="B173" s="25" t="s">
        <v>550</v>
      </c>
      <c r="C173" s="25" t="s">
        <v>551</v>
      </c>
      <c r="D173" s="25" t="s">
        <v>552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487</f>
        <v>487</v>
      </c>
      <c r="L173" s="32" t="s">
        <v>811</v>
      </c>
      <c r="M173" s="31">
        <f>551.2</f>
        <v>551.20000000000005</v>
      </c>
      <c r="N173" s="32" t="s">
        <v>818</v>
      </c>
      <c r="O173" s="31">
        <f>472.1</f>
        <v>472.1</v>
      </c>
      <c r="P173" s="32" t="s">
        <v>695</v>
      </c>
      <c r="Q173" s="31">
        <f>551.1</f>
        <v>551.1</v>
      </c>
      <c r="R173" s="32" t="s">
        <v>818</v>
      </c>
      <c r="S173" s="33">
        <f>498.68</f>
        <v>498.68</v>
      </c>
      <c r="T173" s="30">
        <f>760480</f>
        <v>760480</v>
      </c>
      <c r="U173" s="30" t="str">
        <f t="shared" si="8"/>
        <v>－</v>
      </c>
      <c r="V173" s="30">
        <f>385157584</f>
        <v>385157584</v>
      </c>
      <c r="W173" s="30" t="str">
        <f t="shared" si="9"/>
        <v>－</v>
      </c>
      <c r="X173" s="34">
        <f>19</f>
        <v>19</v>
      </c>
    </row>
    <row r="174" spans="1:24" x14ac:dyDescent="0.15">
      <c r="A174" s="25" t="s">
        <v>817</v>
      </c>
      <c r="B174" s="25" t="s">
        <v>553</v>
      </c>
      <c r="C174" s="25" t="s">
        <v>554</v>
      </c>
      <c r="D174" s="25" t="s">
        <v>555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1.8</f>
        <v>1.8</v>
      </c>
      <c r="L174" s="32" t="s">
        <v>811</v>
      </c>
      <c r="M174" s="31">
        <f>2.5</f>
        <v>2.5</v>
      </c>
      <c r="N174" s="32" t="s">
        <v>818</v>
      </c>
      <c r="O174" s="31">
        <f>1.7</f>
        <v>1.7</v>
      </c>
      <c r="P174" s="32" t="s">
        <v>810</v>
      </c>
      <c r="Q174" s="31">
        <f>2.5</f>
        <v>2.5</v>
      </c>
      <c r="R174" s="32" t="s">
        <v>818</v>
      </c>
      <c r="S174" s="33">
        <f>1.94</f>
        <v>1.94</v>
      </c>
      <c r="T174" s="30">
        <f>361737100</f>
        <v>361737100</v>
      </c>
      <c r="U174" s="30">
        <f>500500</f>
        <v>500500</v>
      </c>
      <c r="V174" s="30">
        <f>725592220</f>
        <v>725592220</v>
      </c>
      <c r="W174" s="30">
        <f>980360</f>
        <v>980360</v>
      </c>
      <c r="X174" s="34">
        <f>19</f>
        <v>19</v>
      </c>
    </row>
    <row r="175" spans="1:24" x14ac:dyDescent="0.15">
      <c r="A175" s="25" t="s">
        <v>817</v>
      </c>
      <c r="B175" s="25" t="s">
        <v>556</v>
      </c>
      <c r="C175" s="25" t="s">
        <v>557</v>
      </c>
      <c r="D175" s="25" t="s">
        <v>558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836.3</f>
        <v>836.3</v>
      </c>
      <c r="L175" s="32" t="s">
        <v>811</v>
      </c>
      <c r="M175" s="31">
        <f>956.2</f>
        <v>956.2</v>
      </c>
      <c r="N175" s="32" t="s">
        <v>818</v>
      </c>
      <c r="O175" s="31">
        <f>833</f>
        <v>833</v>
      </c>
      <c r="P175" s="32" t="s">
        <v>811</v>
      </c>
      <c r="Q175" s="31">
        <f>950.9</f>
        <v>950.9</v>
      </c>
      <c r="R175" s="32" t="s">
        <v>818</v>
      </c>
      <c r="S175" s="33">
        <f>900.93</f>
        <v>900.93</v>
      </c>
      <c r="T175" s="30">
        <f>416170</f>
        <v>416170</v>
      </c>
      <c r="U175" s="30" t="str">
        <f t="shared" ref="U175:U183" si="10">"－"</f>
        <v>－</v>
      </c>
      <c r="V175" s="30">
        <f>375117804</f>
        <v>375117804</v>
      </c>
      <c r="W175" s="30" t="str">
        <f t="shared" ref="W175:W183" si="11">"－"</f>
        <v>－</v>
      </c>
      <c r="X175" s="34">
        <f>19</f>
        <v>19</v>
      </c>
    </row>
    <row r="176" spans="1:24" x14ac:dyDescent="0.15">
      <c r="A176" s="25" t="s">
        <v>817</v>
      </c>
      <c r="B176" s="25" t="s">
        <v>559</v>
      </c>
      <c r="C176" s="25" t="s">
        <v>560</v>
      </c>
      <c r="D176" s="25" t="s">
        <v>561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</v>
      </c>
      <c r="K176" s="31">
        <f>3690</f>
        <v>3690</v>
      </c>
      <c r="L176" s="32" t="s">
        <v>811</v>
      </c>
      <c r="M176" s="31">
        <f>4300</f>
        <v>4300</v>
      </c>
      <c r="N176" s="32" t="s">
        <v>94</v>
      </c>
      <c r="O176" s="31">
        <f>3690</f>
        <v>3690</v>
      </c>
      <c r="P176" s="32" t="s">
        <v>811</v>
      </c>
      <c r="Q176" s="31">
        <f>4195</f>
        <v>4195</v>
      </c>
      <c r="R176" s="32" t="s">
        <v>818</v>
      </c>
      <c r="S176" s="33">
        <f>3954.67</f>
        <v>3954.67</v>
      </c>
      <c r="T176" s="30">
        <f>1792</f>
        <v>1792</v>
      </c>
      <c r="U176" s="30" t="str">
        <f t="shared" si="10"/>
        <v>－</v>
      </c>
      <c r="V176" s="30">
        <f>7319000</f>
        <v>7319000</v>
      </c>
      <c r="W176" s="30" t="str">
        <f t="shared" si="11"/>
        <v>－</v>
      </c>
      <c r="X176" s="34">
        <f>15</f>
        <v>15</v>
      </c>
    </row>
    <row r="177" spans="1:24" x14ac:dyDescent="0.15">
      <c r="A177" s="25" t="s">
        <v>817</v>
      </c>
      <c r="B177" s="25" t="s">
        <v>562</v>
      </c>
      <c r="C177" s="25" t="s">
        <v>563</v>
      </c>
      <c r="D177" s="25" t="s">
        <v>564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100</v>
      </c>
      <c r="K177" s="31">
        <f>449.6</f>
        <v>449.6</v>
      </c>
      <c r="L177" s="32" t="s">
        <v>811</v>
      </c>
      <c r="M177" s="31">
        <f>498.5</f>
        <v>498.5</v>
      </c>
      <c r="N177" s="32" t="s">
        <v>94</v>
      </c>
      <c r="O177" s="31">
        <f>448.7</f>
        <v>448.7</v>
      </c>
      <c r="P177" s="32" t="s">
        <v>811</v>
      </c>
      <c r="Q177" s="31">
        <f>493</f>
        <v>493</v>
      </c>
      <c r="R177" s="32" t="s">
        <v>818</v>
      </c>
      <c r="S177" s="33">
        <f>478.31</f>
        <v>478.31</v>
      </c>
      <c r="T177" s="30">
        <f>219000</f>
        <v>219000</v>
      </c>
      <c r="U177" s="30" t="str">
        <f t="shared" si="10"/>
        <v>－</v>
      </c>
      <c r="V177" s="30">
        <f>105178780</f>
        <v>105178780</v>
      </c>
      <c r="W177" s="30" t="str">
        <f t="shared" si="11"/>
        <v>－</v>
      </c>
      <c r="X177" s="34">
        <f>19</f>
        <v>19</v>
      </c>
    </row>
    <row r="178" spans="1:24" x14ac:dyDescent="0.15">
      <c r="A178" s="25" t="s">
        <v>817</v>
      </c>
      <c r="B178" s="25" t="s">
        <v>565</v>
      </c>
      <c r="C178" s="25" t="s">
        <v>566</v>
      </c>
      <c r="D178" s="25" t="s">
        <v>567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4519</f>
        <v>4519</v>
      </c>
      <c r="L178" s="32" t="s">
        <v>811</v>
      </c>
      <c r="M178" s="31">
        <f>4671</f>
        <v>4671</v>
      </c>
      <c r="N178" s="32" t="s">
        <v>56</v>
      </c>
      <c r="O178" s="31">
        <f>4394</f>
        <v>4394</v>
      </c>
      <c r="P178" s="32" t="s">
        <v>818</v>
      </c>
      <c r="Q178" s="31">
        <f>4418</f>
        <v>4418</v>
      </c>
      <c r="R178" s="32" t="s">
        <v>818</v>
      </c>
      <c r="S178" s="33">
        <f>4516.11</f>
        <v>4516.1099999999997</v>
      </c>
      <c r="T178" s="30">
        <f>29660</f>
        <v>29660</v>
      </c>
      <c r="U178" s="30" t="str">
        <f t="shared" si="10"/>
        <v>－</v>
      </c>
      <c r="V178" s="30">
        <f>134621390</f>
        <v>134621390</v>
      </c>
      <c r="W178" s="30" t="str">
        <f t="shared" si="11"/>
        <v>－</v>
      </c>
      <c r="X178" s="34">
        <f>19</f>
        <v>19</v>
      </c>
    </row>
    <row r="179" spans="1:24" x14ac:dyDescent="0.15">
      <c r="A179" s="25" t="s">
        <v>817</v>
      </c>
      <c r="B179" s="25" t="s">
        <v>568</v>
      </c>
      <c r="C179" s="25" t="s">
        <v>569</v>
      </c>
      <c r="D179" s="25" t="s">
        <v>570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2230</f>
        <v>2230</v>
      </c>
      <c r="L179" s="32" t="s">
        <v>811</v>
      </c>
      <c r="M179" s="31">
        <f>2621.5</f>
        <v>2621.5</v>
      </c>
      <c r="N179" s="32" t="s">
        <v>87</v>
      </c>
      <c r="O179" s="31">
        <f>2185</f>
        <v>2185</v>
      </c>
      <c r="P179" s="32" t="s">
        <v>811</v>
      </c>
      <c r="Q179" s="31">
        <f>2389.5</f>
        <v>2389.5</v>
      </c>
      <c r="R179" s="32" t="s">
        <v>818</v>
      </c>
      <c r="S179" s="33">
        <f>2367.58</f>
        <v>2367.58</v>
      </c>
      <c r="T179" s="30">
        <f>58290</f>
        <v>58290</v>
      </c>
      <c r="U179" s="30" t="str">
        <f t="shared" si="10"/>
        <v>－</v>
      </c>
      <c r="V179" s="30">
        <f>139384205</f>
        <v>139384205</v>
      </c>
      <c r="W179" s="30" t="str">
        <f t="shared" si="11"/>
        <v>－</v>
      </c>
      <c r="X179" s="34">
        <f>19</f>
        <v>19</v>
      </c>
    </row>
    <row r="180" spans="1:24" x14ac:dyDescent="0.15">
      <c r="A180" s="25" t="s">
        <v>817</v>
      </c>
      <c r="B180" s="25" t="s">
        <v>571</v>
      </c>
      <c r="C180" s="25" t="s">
        <v>572</v>
      </c>
      <c r="D180" s="25" t="s">
        <v>573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94.2</f>
        <v>94.2</v>
      </c>
      <c r="L180" s="32" t="s">
        <v>811</v>
      </c>
      <c r="M180" s="31">
        <f>105</f>
        <v>105</v>
      </c>
      <c r="N180" s="32" t="s">
        <v>818</v>
      </c>
      <c r="O180" s="31">
        <f>89.1</f>
        <v>89.1</v>
      </c>
      <c r="P180" s="32" t="s">
        <v>695</v>
      </c>
      <c r="Q180" s="31">
        <f>102.1</f>
        <v>102.1</v>
      </c>
      <c r="R180" s="32" t="s">
        <v>818</v>
      </c>
      <c r="S180" s="33">
        <f>94.69</f>
        <v>94.69</v>
      </c>
      <c r="T180" s="30">
        <f>6691700</f>
        <v>6691700</v>
      </c>
      <c r="U180" s="30" t="str">
        <f t="shared" si="10"/>
        <v>－</v>
      </c>
      <c r="V180" s="30">
        <f>645854890</f>
        <v>645854890</v>
      </c>
      <c r="W180" s="30" t="str">
        <f t="shared" si="11"/>
        <v>－</v>
      </c>
      <c r="X180" s="34">
        <f>19</f>
        <v>19</v>
      </c>
    </row>
    <row r="181" spans="1:24" x14ac:dyDescent="0.15">
      <c r="A181" s="25" t="s">
        <v>817</v>
      </c>
      <c r="B181" s="25" t="s">
        <v>574</v>
      </c>
      <c r="C181" s="25" t="s">
        <v>575</v>
      </c>
      <c r="D181" s="25" t="s">
        <v>576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100</v>
      </c>
      <c r="K181" s="31">
        <f>126.6</f>
        <v>126.6</v>
      </c>
      <c r="L181" s="32" t="s">
        <v>811</v>
      </c>
      <c r="M181" s="31">
        <f>140</f>
        <v>140</v>
      </c>
      <c r="N181" s="32" t="s">
        <v>818</v>
      </c>
      <c r="O181" s="31">
        <f>124.8</f>
        <v>124.8</v>
      </c>
      <c r="P181" s="32" t="s">
        <v>695</v>
      </c>
      <c r="Q181" s="31">
        <f>139.3</f>
        <v>139.30000000000001</v>
      </c>
      <c r="R181" s="32" t="s">
        <v>818</v>
      </c>
      <c r="S181" s="33">
        <f>131.14</f>
        <v>131.13999999999999</v>
      </c>
      <c r="T181" s="30">
        <f>1612800</f>
        <v>1612800</v>
      </c>
      <c r="U181" s="30" t="str">
        <f t="shared" si="10"/>
        <v>－</v>
      </c>
      <c r="V181" s="30">
        <f>211940840</f>
        <v>211940840</v>
      </c>
      <c r="W181" s="30" t="str">
        <f t="shared" si="11"/>
        <v>－</v>
      </c>
      <c r="X181" s="34">
        <f>19</f>
        <v>19</v>
      </c>
    </row>
    <row r="182" spans="1:24" x14ac:dyDescent="0.15">
      <c r="A182" s="25" t="s">
        <v>817</v>
      </c>
      <c r="B182" s="25" t="s">
        <v>577</v>
      </c>
      <c r="C182" s="25" t="s">
        <v>578</v>
      </c>
      <c r="D182" s="25" t="s">
        <v>579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2838</f>
        <v>2838</v>
      </c>
      <c r="L182" s="32" t="s">
        <v>811</v>
      </c>
      <c r="M182" s="31">
        <f>3196</f>
        <v>3196</v>
      </c>
      <c r="N182" s="32" t="s">
        <v>818</v>
      </c>
      <c r="O182" s="31">
        <f>2810</f>
        <v>2810</v>
      </c>
      <c r="P182" s="32" t="s">
        <v>695</v>
      </c>
      <c r="Q182" s="31">
        <f>3160</f>
        <v>3160</v>
      </c>
      <c r="R182" s="32" t="s">
        <v>818</v>
      </c>
      <c r="S182" s="33">
        <f>2918.39</f>
        <v>2918.39</v>
      </c>
      <c r="T182" s="30">
        <f>51280</f>
        <v>51280</v>
      </c>
      <c r="U182" s="30" t="str">
        <f t="shared" si="10"/>
        <v>－</v>
      </c>
      <c r="V182" s="30">
        <f>151461200</f>
        <v>151461200</v>
      </c>
      <c r="W182" s="30" t="str">
        <f t="shared" si="11"/>
        <v>－</v>
      </c>
      <c r="X182" s="34">
        <f>19</f>
        <v>19</v>
      </c>
    </row>
    <row r="183" spans="1:24" x14ac:dyDescent="0.15">
      <c r="A183" s="25" t="s">
        <v>817</v>
      </c>
      <c r="B183" s="25" t="s">
        <v>580</v>
      </c>
      <c r="C183" s="25" t="s">
        <v>581</v>
      </c>
      <c r="D183" s="25" t="s">
        <v>582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1890</f>
        <v>1890</v>
      </c>
      <c r="L183" s="32" t="s">
        <v>811</v>
      </c>
      <c r="M183" s="31">
        <f>1950</f>
        <v>1950</v>
      </c>
      <c r="N183" s="32" t="s">
        <v>819</v>
      </c>
      <c r="O183" s="31">
        <f>1841</f>
        <v>1841</v>
      </c>
      <c r="P183" s="32" t="s">
        <v>266</v>
      </c>
      <c r="Q183" s="31">
        <f>1889.5</f>
        <v>1889.5</v>
      </c>
      <c r="R183" s="32" t="s">
        <v>818</v>
      </c>
      <c r="S183" s="33">
        <f>1898.74</f>
        <v>1898.74</v>
      </c>
      <c r="T183" s="30">
        <f>24710</f>
        <v>24710</v>
      </c>
      <c r="U183" s="30" t="str">
        <f t="shared" si="10"/>
        <v>－</v>
      </c>
      <c r="V183" s="30">
        <f>47122475</f>
        <v>47122475</v>
      </c>
      <c r="W183" s="30" t="str">
        <f t="shared" si="11"/>
        <v>－</v>
      </c>
      <c r="X183" s="34">
        <f>19</f>
        <v>19</v>
      </c>
    </row>
    <row r="184" spans="1:24" x14ac:dyDescent="0.15">
      <c r="A184" s="25" t="s">
        <v>817</v>
      </c>
      <c r="B184" s="25" t="s">
        <v>583</v>
      </c>
      <c r="C184" s="25" t="s">
        <v>584</v>
      </c>
      <c r="D184" s="25" t="s">
        <v>585</v>
      </c>
      <c r="E184" s="26" t="s">
        <v>45</v>
      </c>
      <c r="F184" s="27" t="s">
        <v>45</v>
      </c>
      <c r="G184" s="28" t="s">
        <v>45</v>
      </c>
      <c r="H184" s="29"/>
      <c r="I184" s="29" t="s">
        <v>46</v>
      </c>
      <c r="J184" s="30">
        <v>10</v>
      </c>
      <c r="K184" s="31">
        <f>222.9</f>
        <v>222.9</v>
      </c>
      <c r="L184" s="32" t="s">
        <v>811</v>
      </c>
      <c r="M184" s="31">
        <f>254.2</f>
        <v>254.2</v>
      </c>
      <c r="N184" s="32" t="s">
        <v>818</v>
      </c>
      <c r="O184" s="31">
        <f>222.6</f>
        <v>222.6</v>
      </c>
      <c r="P184" s="32" t="s">
        <v>811</v>
      </c>
      <c r="Q184" s="31">
        <f>253</f>
        <v>253</v>
      </c>
      <c r="R184" s="32" t="s">
        <v>818</v>
      </c>
      <c r="S184" s="33">
        <f>239.78</f>
        <v>239.78</v>
      </c>
      <c r="T184" s="30">
        <f>57661640</f>
        <v>57661640</v>
      </c>
      <c r="U184" s="30">
        <f>124220</f>
        <v>124220</v>
      </c>
      <c r="V184" s="30">
        <f>13821282530</f>
        <v>13821282530</v>
      </c>
      <c r="W184" s="30">
        <f>29708820</f>
        <v>29708820</v>
      </c>
      <c r="X184" s="34">
        <f>19</f>
        <v>19</v>
      </c>
    </row>
    <row r="185" spans="1:24" x14ac:dyDescent="0.15">
      <c r="A185" s="25" t="s">
        <v>817</v>
      </c>
      <c r="B185" s="25" t="s">
        <v>586</v>
      </c>
      <c r="C185" s="25" t="s">
        <v>587</v>
      </c>
      <c r="D185" s="25" t="s">
        <v>588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7845</f>
        <v>7845</v>
      </c>
      <c r="L185" s="32" t="s">
        <v>811</v>
      </c>
      <c r="M185" s="31">
        <f>8949</f>
        <v>8949</v>
      </c>
      <c r="N185" s="32" t="s">
        <v>66</v>
      </c>
      <c r="O185" s="31">
        <f>7600</f>
        <v>7600</v>
      </c>
      <c r="P185" s="32" t="s">
        <v>80</v>
      </c>
      <c r="Q185" s="31">
        <f>8362</f>
        <v>8362</v>
      </c>
      <c r="R185" s="32" t="s">
        <v>818</v>
      </c>
      <c r="S185" s="33">
        <f>8337.11</f>
        <v>8337.11</v>
      </c>
      <c r="T185" s="30">
        <f>9727</f>
        <v>9727</v>
      </c>
      <c r="U185" s="30" t="str">
        <f>"－"</f>
        <v>－</v>
      </c>
      <c r="V185" s="30">
        <f>81129548</f>
        <v>81129548</v>
      </c>
      <c r="W185" s="30" t="str">
        <f>"－"</f>
        <v>－</v>
      </c>
      <c r="X185" s="34">
        <f>19</f>
        <v>19</v>
      </c>
    </row>
    <row r="186" spans="1:24" x14ac:dyDescent="0.15">
      <c r="A186" s="25" t="s">
        <v>817</v>
      </c>
      <c r="B186" s="25" t="s">
        <v>590</v>
      </c>
      <c r="C186" s="25" t="s">
        <v>591</v>
      </c>
      <c r="D186" s="25" t="s">
        <v>592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6488</f>
        <v>6488</v>
      </c>
      <c r="L186" s="32" t="s">
        <v>811</v>
      </c>
      <c r="M186" s="31">
        <f>6605</f>
        <v>6605</v>
      </c>
      <c r="N186" s="32" t="s">
        <v>80</v>
      </c>
      <c r="O186" s="31">
        <f>5901</f>
        <v>5901</v>
      </c>
      <c r="P186" s="32" t="s">
        <v>66</v>
      </c>
      <c r="Q186" s="31">
        <f>6344</f>
        <v>6344</v>
      </c>
      <c r="R186" s="32" t="s">
        <v>818</v>
      </c>
      <c r="S186" s="33">
        <f>6272.89</f>
        <v>6272.89</v>
      </c>
      <c r="T186" s="30">
        <f>6916</f>
        <v>6916</v>
      </c>
      <c r="U186" s="30" t="str">
        <f>"－"</f>
        <v>－</v>
      </c>
      <c r="V186" s="30">
        <f>43078475</f>
        <v>43078475</v>
      </c>
      <c r="W186" s="30" t="str">
        <f>"－"</f>
        <v>－</v>
      </c>
      <c r="X186" s="34">
        <f>19</f>
        <v>19</v>
      </c>
    </row>
    <row r="187" spans="1:24" x14ac:dyDescent="0.15">
      <c r="A187" s="25" t="s">
        <v>817</v>
      </c>
      <c r="B187" s="25" t="s">
        <v>593</v>
      </c>
      <c r="C187" s="25" t="s">
        <v>594</v>
      </c>
      <c r="D187" s="25" t="s">
        <v>595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16200</f>
        <v>16200</v>
      </c>
      <c r="L187" s="32" t="s">
        <v>811</v>
      </c>
      <c r="M187" s="31">
        <f>16515</f>
        <v>16515</v>
      </c>
      <c r="N187" s="32" t="s">
        <v>810</v>
      </c>
      <c r="O187" s="31">
        <f>12480</f>
        <v>12480</v>
      </c>
      <c r="P187" s="32" t="s">
        <v>266</v>
      </c>
      <c r="Q187" s="31">
        <f>13705</f>
        <v>13705</v>
      </c>
      <c r="R187" s="32" t="s">
        <v>818</v>
      </c>
      <c r="S187" s="33">
        <f>14944.71</f>
        <v>14944.71</v>
      </c>
      <c r="T187" s="30">
        <f>511</f>
        <v>511</v>
      </c>
      <c r="U187" s="30" t="str">
        <f>"－"</f>
        <v>－</v>
      </c>
      <c r="V187" s="30">
        <f>7189645</f>
        <v>7189645</v>
      </c>
      <c r="W187" s="30" t="str">
        <f>"－"</f>
        <v>－</v>
      </c>
      <c r="X187" s="34">
        <f>17</f>
        <v>17</v>
      </c>
    </row>
    <row r="188" spans="1:24" x14ac:dyDescent="0.15">
      <c r="A188" s="25" t="s">
        <v>817</v>
      </c>
      <c r="B188" s="25" t="s">
        <v>596</v>
      </c>
      <c r="C188" s="25" t="s">
        <v>597</v>
      </c>
      <c r="D188" s="25" t="s">
        <v>598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6220</f>
        <v>6220</v>
      </c>
      <c r="L188" s="32" t="s">
        <v>811</v>
      </c>
      <c r="M188" s="31">
        <f>6920</f>
        <v>6920</v>
      </c>
      <c r="N188" s="32" t="s">
        <v>266</v>
      </c>
      <c r="O188" s="31">
        <f>6155</f>
        <v>6155</v>
      </c>
      <c r="P188" s="32" t="s">
        <v>56</v>
      </c>
      <c r="Q188" s="31">
        <f>6591</f>
        <v>6591</v>
      </c>
      <c r="R188" s="32" t="s">
        <v>818</v>
      </c>
      <c r="S188" s="33">
        <f>6399.95</f>
        <v>6399.95</v>
      </c>
      <c r="T188" s="30">
        <f>19451</f>
        <v>19451</v>
      </c>
      <c r="U188" s="30" t="str">
        <f>"－"</f>
        <v>－</v>
      </c>
      <c r="V188" s="30">
        <f>125464391</f>
        <v>125464391</v>
      </c>
      <c r="W188" s="30" t="str">
        <f>"－"</f>
        <v>－</v>
      </c>
      <c r="X188" s="34">
        <f>19</f>
        <v>19</v>
      </c>
    </row>
    <row r="189" spans="1:24" x14ac:dyDescent="0.15">
      <c r="A189" s="25" t="s">
        <v>817</v>
      </c>
      <c r="B189" s="25" t="s">
        <v>599</v>
      </c>
      <c r="C189" s="25" t="s">
        <v>600</v>
      </c>
      <c r="D189" s="25" t="s">
        <v>601</v>
      </c>
      <c r="E189" s="26" t="s">
        <v>45</v>
      </c>
      <c r="F189" s="27" t="s">
        <v>45</v>
      </c>
      <c r="G189" s="28" t="s">
        <v>45</v>
      </c>
      <c r="H189" s="29" t="s">
        <v>333</v>
      </c>
      <c r="I189" s="29" t="s">
        <v>589</v>
      </c>
      <c r="J189" s="30">
        <v>1</v>
      </c>
      <c r="K189" s="31">
        <f>100</f>
        <v>100</v>
      </c>
      <c r="L189" s="32" t="s">
        <v>811</v>
      </c>
      <c r="M189" s="31">
        <f>124</f>
        <v>124</v>
      </c>
      <c r="N189" s="32" t="s">
        <v>266</v>
      </c>
      <c r="O189" s="31">
        <f>95</f>
        <v>95</v>
      </c>
      <c r="P189" s="32" t="s">
        <v>56</v>
      </c>
      <c r="Q189" s="31">
        <f>107</f>
        <v>107</v>
      </c>
      <c r="R189" s="32" t="s">
        <v>818</v>
      </c>
      <c r="S189" s="33">
        <f>103.26</f>
        <v>103.26</v>
      </c>
      <c r="T189" s="30">
        <f>21269943</f>
        <v>21269943</v>
      </c>
      <c r="U189" s="30" t="str">
        <f>"－"</f>
        <v>－</v>
      </c>
      <c r="V189" s="30">
        <f>2249413341</f>
        <v>2249413341</v>
      </c>
      <c r="W189" s="30" t="str">
        <f>"－"</f>
        <v>－</v>
      </c>
      <c r="X189" s="34">
        <f>19</f>
        <v>19</v>
      </c>
    </row>
    <row r="190" spans="1:24" x14ac:dyDescent="0.15">
      <c r="A190" s="25" t="s">
        <v>817</v>
      </c>
      <c r="B190" s="25" t="s">
        <v>602</v>
      </c>
      <c r="C190" s="25" t="s">
        <v>603</v>
      </c>
      <c r="D190" s="25" t="s">
        <v>604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19180</f>
        <v>19180</v>
      </c>
      <c r="L190" s="32" t="s">
        <v>811</v>
      </c>
      <c r="M190" s="31">
        <f>20000</f>
        <v>20000</v>
      </c>
      <c r="N190" s="32" t="s">
        <v>812</v>
      </c>
      <c r="O190" s="31">
        <f>18910</f>
        <v>18910</v>
      </c>
      <c r="P190" s="32" t="s">
        <v>818</v>
      </c>
      <c r="Q190" s="31">
        <f>19075</f>
        <v>19075</v>
      </c>
      <c r="R190" s="32" t="s">
        <v>818</v>
      </c>
      <c r="S190" s="33">
        <f>19404.74</f>
        <v>19404.740000000002</v>
      </c>
      <c r="T190" s="30">
        <f>36317</f>
        <v>36317</v>
      </c>
      <c r="U190" s="30">
        <f>1</f>
        <v>1</v>
      </c>
      <c r="V190" s="30">
        <f>705866515</f>
        <v>705866515</v>
      </c>
      <c r="W190" s="30">
        <f>20000</f>
        <v>20000</v>
      </c>
      <c r="X190" s="34">
        <f>19</f>
        <v>19</v>
      </c>
    </row>
    <row r="191" spans="1:24" x14ac:dyDescent="0.15">
      <c r="A191" s="25" t="s">
        <v>817</v>
      </c>
      <c r="B191" s="25" t="s">
        <v>605</v>
      </c>
      <c r="C191" s="25" t="s">
        <v>606</v>
      </c>
      <c r="D191" s="25" t="s">
        <v>607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5236</f>
        <v>5236</v>
      </c>
      <c r="L191" s="32" t="s">
        <v>811</v>
      </c>
      <c r="M191" s="31">
        <f>5250</f>
        <v>5250</v>
      </c>
      <c r="N191" s="32" t="s">
        <v>821</v>
      </c>
      <c r="O191" s="31">
        <f>5138</f>
        <v>5138</v>
      </c>
      <c r="P191" s="32" t="s">
        <v>87</v>
      </c>
      <c r="Q191" s="31">
        <f>5249</f>
        <v>5249</v>
      </c>
      <c r="R191" s="32" t="s">
        <v>818</v>
      </c>
      <c r="S191" s="33">
        <f>5193.26</f>
        <v>5193.26</v>
      </c>
      <c r="T191" s="30">
        <f>4345</f>
        <v>4345</v>
      </c>
      <c r="U191" s="30" t="str">
        <f>"－"</f>
        <v>－</v>
      </c>
      <c r="V191" s="30">
        <f>22594350</f>
        <v>22594350</v>
      </c>
      <c r="W191" s="30" t="str">
        <f>"－"</f>
        <v>－</v>
      </c>
      <c r="X191" s="34">
        <f>19</f>
        <v>19</v>
      </c>
    </row>
    <row r="192" spans="1:24" x14ac:dyDescent="0.15">
      <c r="A192" s="25" t="s">
        <v>817</v>
      </c>
      <c r="B192" s="25" t="s">
        <v>608</v>
      </c>
      <c r="C192" s="25" t="s">
        <v>609</v>
      </c>
      <c r="D192" s="25" t="s">
        <v>610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799</f>
        <v>799</v>
      </c>
      <c r="L192" s="32" t="s">
        <v>811</v>
      </c>
      <c r="M192" s="31">
        <f>986</f>
        <v>986</v>
      </c>
      <c r="N192" s="32" t="s">
        <v>818</v>
      </c>
      <c r="O192" s="31">
        <f>794</f>
        <v>794</v>
      </c>
      <c r="P192" s="32" t="s">
        <v>811</v>
      </c>
      <c r="Q192" s="31">
        <f>980</f>
        <v>980</v>
      </c>
      <c r="R192" s="32" t="s">
        <v>818</v>
      </c>
      <c r="S192" s="33">
        <f>898.89</f>
        <v>898.89</v>
      </c>
      <c r="T192" s="30">
        <f>106737016</f>
        <v>106737016</v>
      </c>
      <c r="U192" s="30">
        <f>300736</f>
        <v>300736</v>
      </c>
      <c r="V192" s="30">
        <f>95939381492</f>
        <v>95939381492</v>
      </c>
      <c r="W192" s="30">
        <f>300351198</f>
        <v>300351198</v>
      </c>
      <c r="X192" s="34">
        <f>19</f>
        <v>19</v>
      </c>
    </row>
    <row r="193" spans="1:24" x14ac:dyDescent="0.15">
      <c r="A193" s="25" t="s">
        <v>817</v>
      </c>
      <c r="B193" s="25" t="s">
        <v>611</v>
      </c>
      <c r="C193" s="25" t="s">
        <v>612</v>
      </c>
      <c r="D193" s="25" t="s">
        <v>613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2617</f>
        <v>2617</v>
      </c>
      <c r="L193" s="32" t="s">
        <v>811</v>
      </c>
      <c r="M193" s="31">
        <f>2623</f>
        <v>2623</v>
      </c>
      <c r="N193" s="32" t="s">
        <v>811</v>
      </c>
      <c r="O193" s="31">
        <f>2321</f>
        <v>2321</v>
      </c>
      <c r="P193" s="32" t="s">
        <v>818</v>
      </c>
      <c r="Q193" s="31">
        <f>2323</f>
        <v>2323</v>
      </c>
      <c r="R193" s="32" t="s">
        <v>818</v>
      </c>
      <c r="S193" s="33">
        <f>2448.74</f>
        <v>2448.7399999999998</v>
      </c>
      <c r="T193" s="30">
        <f>1162859</f>
        <v>1162859</v>
      </c>
      <c r="U193" s="30" t="str">
        <f>"－"</f>
        <v>－</v>
      </c>
      <c r="V193" s="30">
        <f>2854447459</f>
        <v>2854447459</v>
      </c>
      <c r="W193" s="30" t="str">
        <f>"－"</f>
        <v>－</v>
      </c>
      <c r="X193" s="34">
        <f>19</f>
        <v>19</v>
      </c>
    </row>
    <row r="194" spans="1:24" x14ac:dyDescent="0.15">
      <c r="A194" s="25" t="s">
        <v>817</v>
      </c>
      <c r="B194" s="25" t="s">
        <v>614</v>
      </c>
      <c r="C194" s="25" t="s">
        <v>615</v>
      </c>
      <c r="D194" s="25" t="s">
        <v>616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33900</f>
        <v>33900</v>
      </c>
      <c r="L194" s="32" t="s">
        <v>811</v>
      </c>
      <c r="M194" s="31">
        <f>34340</f>
        <v>34340</v>
      </c>
      <c r="N194" s="32" t="s">
        <v>810</v>
      </c>
      <c r="O194" s="31">
        <f>29180</f>
        <v>29180</v>
      </c>
      <c r="P194" s="32" t="s">
        <v>266</v>
      </c>
      <c r="Q194" s="31">
        <f>31120</f>
        <v>31120</v>
      </c>
      <c r="R194" s="32" t="s">
        <v>818</v>
      </c>
      <c r="S194" s="33">
        <f>32220</f>
        <v>32220</v>
      </c>
      <c r="T194" s="30">
        <f>130217</f>
        <v>130217</v>
      </c>
      <c r="U194" s="30">
        <f>16</f>
        <v>16</v>
      </c>
      <c r="V194" s="30">
        <f>4167966500</f>
        <v>4167966500</v>
      </c>
      <c r="W194" s="30">
        <f>519330</f>
        <v>519330</v>
      </c>
      <c r="X194" s="34">
        <f>19</f>
        <v>19</v>
      </c>
    </row>
    <row r="195" spans="1:24" x14ac:dyDescent="0.15">
      <c r="A195" s="25" t="s">
        <v>817</v>
      </c>
      <c r="B195" s="25" t="s">
        <v>617</v>
      </c>
      <c r="C195" s="25" t="s">
        <v>618</v>
      </c>
      <c r="D195" s="25" t="s">
        <v>619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2760</f>
        <v>2760</v>
      </c>
      <c r="L195" s="32" t="s">
        <v>811</v>
      </c>
      <c r="M195" s="31">
        <f>2974</f>
        <v>2974</v>
      </c>
      <c r="N195" s="32" t="s">
        <v>266</v>
      </c>
      <c r="O195" s="31">
        <f>2738</f>
        <v>2738</v>
      </c>
      <c r="P195" s="32" t="s">
        <v>810</v>
      </c>
      <c r="Q195" s="31">
        <f>2868</f>
        <v>2868</v>
      </c>
      <c r="R195" s="32" t="s">
        <v>818</v>
      </c>
      <c r="S195" s="33">
        <f>2835.84</f>
        <v>2835.84</v>
      </c>
      <c r="T195" s="30">
        <f>759582</f>
        <v>759582</v>
      </c>
      <c r="U195" s="30" t="str">
        <f>"－"</f>
        <v>－</v>
      </c>
      <c r="V195" s="30">
        <f>2177594865</f>
        <v>2177594865</v>
      </c>
      <c r="W195" s="30" t="str">
        <f>"－"</f>
        <v>－</v>
      </c>
      <c r="X195" s="34">
        <f>19</f>
        <v>19</v>
      </c>
    </row>
    <row r="196" spans="1:24" x14ac:dyDescent="0.15">
      <c r="A196" s="25" t="s">
        <v>817</v>
      </c>
      <c r="B196" s="25" t="s">
        <v>620</v>
      </c>
      <c r="C196" s="25" t="s">
        <v>621</v>
      </c>
      <c r="D196" s="25" t="s">
        <v>622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10820</f>
        <v>10820</v>
      </c>
      <c r="L196" s="32" t="s">
        <v>811</v>
      </c>
      <c r="M196" s="31">
        <f>10820</f>
        <v>10820</v>
      </c>
      <c r="N196" s="32" t="s">
        <v>811</v>
      </c>
      <c r="O196" s="31">
        <f>7740</f>
        <v>7740</v>
      </c>
      <c r="P196" s="32" t="s">
        <v>94</v>
      </c>
      <c r="Q196" s="31">
        <f>8204</f>
        <v>8204</v>
      </c>
      <c r="R196" s="32" t="s">
        <v>818</v>
      </c>
      <c r="S196" s="33">
        <f>9024.74</f>
        <v>9024.74</v>
      </c>
      <c r="T196" s="30">
        <f>140916</f>
        <v>140916</v>
      </c>
      <c r="U196" s="30" t="str">
        <f>"－"</f>
        <v>－</v>
      </c>
      <c r="V196" s="30">
        <f>1270655983</f>
        <v>1270655983</v>
      </c>
      <c r="W196" s="30" t="str">
        <f>"－"</f>
        <v>－</v>
      </c>
      <c r="X196" s="34">
        <f>19</f>
        <v>19</v>
      </c>
    </row>
    <row r="197" spans="1:24" x14ac:dyDescent="0.15">
      <c r="A197" s="25" t="s">
        <v>817</v>
      </c>
      <c r="B197" s="25" t="s">
        <v>623</v>
      </c>
      <c r="C197" s="25" t="s">
        <v>624</v>
      </c>
      <c r="D197" s="25" t="s">
        <v>625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13970</f>
        <v>13970</v>
      </c>
      <c r="L197" s="32" t="s">
        <v>810</v>
      </c>
      <c r="M197" s="31">
        <f>14300</f>
        <v>14300</v>
      </c>
      <c r="N197" s="32" t="s">
        <v>266</v>
      </c>
      <c r="O197" s="31">
        <f>13840</f>
        <v>13840</v>
      </c>
      <c r="P197" s="32" t="s">
        <v>812</v>
      </c>
      <c r="Q197" s="31">
        <f>14040</f>
        <v>14040</v>
      </c>
      <c r="R197" s="32" t="s">
        <v>818</v>
      </c>
      <c r="S197" s="33">
        <f>14055</f>
        <v>14055</v>
      </c>
      <c r="T197" s="30">
        <f>727</f>
        <v>727</v>
      </c>
      <c r="U197" s="30">
        <f>1</f>
        <v>1</v>
      </c>
      <c r="V197" s="30">
        <f>10190860</f>
        <v>10190860</v>
      </c>
      <c r="W197" s="30">
        <f>14200</f>
        <v>14200</v>
      </c>
      <c r="X197" s="34">
        <f>15</f>
        <v>15</v>
      </c>
    </row>
    <row r="198" spans="1:24" x14ac:dyDescent="0.15">
      <c r="A198" s="25" t="s">
        <v>817</v>
      </c>
      <c r="B198" s="25" t="s">
        <v>626</v>
      </c>
      <c r="C198" s="25" t="s">
        <v>627</v>
      </c>
      <c r="D198" s="25" t="s">
        <v>628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21185</f>
        <v>21185</v>
      </c>
      <c r="L198" s="32" t="s">
        <v>811</v>
      </c>
      <c r="M198" s="31">
        <f>21670</f>
        <v>21670</v>
      </c>
      <c r="N198" s="32" t="s">
        <v>810</v>
      </c>
      <c r="O198" s="31">
        <f>19415</f>
        <v>19415</v>
      </c>
      <c r="P198" s="32" t="s">
        <v>266</v>
      </c>
      <c r="Q198" s="31">
        <f>20315</f>
        <v>20315</v>
      </c>
      <c r="R198" s="32" t="s">
        <v>818</v>
      </c>
      <c r="S198" s="33">
        <f>20611.05</f>
        <v>20611.05</v>
      </c>
      <c r="T198" s="30">
        <f>43606</f>
        <v>43606</v>
      </c>
      <c r="U198" s="30" t="str">
        <f>"－"</f>
        <v>－</v>
      </c>
      <c r="V198" s="30">
        <f>898388765</f>
        <v>898388765</v>
      </c>
      <c r="W198" s="30" t="str">
        <f>"－"</f>
        <v>－</v>
      </c>
      <c r="X198" s="34">
        <f>19</f>
        <v>19</v>
      </c>
    </row>
    <row r="199" spans="1:24" x14ac:dyDescent="0.15">
      <c r="A199" s="25" t="s">
        <v>817</v>
      </c>
      <c r="B199" s="25" t="s">
        <v>629</v>
      </c>
      <c r="C199" s="25" t="s">
        <v>630</v>
      </c>
      <c r="D199" s="25" t="s">
        <v>631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14125</f>
        <v>14125</v>
      </c>
      <c r="L199" s="32" t="s">
        <v>811</v>
      </c>
      <c r="M199" s="31">
        <f>14430</f>
        <v>14430</v>
      </c>
      <c r="N199" s="32" t="s">
        <v>811</v>
      </c>
      <c r="O199" s="31">
        <f>13500</f>
        <v>13500</v>
      </c>
      <c r="P199" s="32" t="s">
        <v>818</v>
      </c>
      <c r="Q199" s="31">
        <f>13500</f>
        <v>13500</v>
      </c>
      <c r="R199" s="32" t="s">
        <v>818</v>
      </c>
      <c r="S199" s="33">
        <f>13920</f>
        <v>13920</v>
      </c>
      <c r="T199" s="30">
        <f>360</f>
        <v>360</v>
      </c>
      <c r="U199" s="30" t="str">
        <f>"－"</f>
        <v>－</v>
      </c>
      <c r="V199" s="30">
        <f>5012340</f>
        <v>5012340</v>
      </c>
      <c r="W199" s="30" t="str">
        <f>"－"</f>
        <v>－</v>
      </c>
      <c r="X199" s="34">
        <f>13</f>
        <v>13</v>
      </c>
    </row>
    <row r="200" spans="1:24" x14ac:dyDescent="0.15">
      <c r="A200" s="25" t="s">
        <v>817</v>
      </c>
      <c r="B200" s="25" t="s">
        <v>632</v>
      </c>
      <c r="C200" s="25" t="s">
        <v>633</v>
      </c>
      <c r="D200" s="25" t="s">
        <v>634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18360</f>
        <v>18360</v>
      </c>
      <c r="L200" s="32" t="s">
        <v>811</v>
      </c>
      <c r="M200" s="31">
        <f>19925</f>
        <v>19925</v>
      </c>
      <c r="N200" s="32" t="s">
        <v>56</v>
      </c>
      <c r="O200" s="31">
        <f>16480</f>
        <v>16480</v>
      </c>
      <c r="P200" s="32" t="s">
        <v>266</v>
      </c>
      <c r="Q200" s="31">
        <f>17865</f>
        <v>17865</v>
      </c>
      <c r="R200" s="32" t="s">
        <v>818</v>
      </c>
      <c r="S200" s="33">
        <f>18521.84</f>
        <v>18521.84</v>
      </c>
      <c r="T200" s="30">
        <f>78674</f>
        <v>78674</v>
      </c>
      <c r="U200" s="30" t="str">
        <f>"－"</f>
        <v>－</v>
      </c>
      <c r="V200" s="30">
        <f>1459242335</f>
        <v>1459242335</v>
      </c>
      <c r="W200" s="30" t="str">
        <f>"－"</f>
        <v>－</v>
      </c>
      <c r="X200" s="34">
        <f>19</f>
        <v>19</v>
      </c>
    </row>
    <row r="201" spans="1:24" x14ac:dyDescent="0.15">
      <c r="A201" s="25" t="s">
        <v>817</v>
      </c>
      <c r="B201" s="25" t="s">
        <v>635</v>
      </c>
      <c r="C201" s="25" t="s">
        <v>636</v>
      </c>
      <c r="D201" s="25" t="s">
        <v>637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4045</f>
        <v>4045</v>
      </c>
      <c r="L201" s="32" t="s">
        <v>811</v>
      </c>
      <c r="M201" s="31">
        <f>4150</f>
        <v>4150</v>
      </c>
      <c r="N201" s="32" t="s">
        <v>815</v>
      </c>
      <c r="O201" s="31">
        <f>3850</f>
        <v>3850</v>
      </c>
      <c r="P201" s="32" t="s">
        <v>814</v>
      </c>
      <c r="Q201" s="31">
        <f>4070</f>
        <v>4070</v>
      </c>
      <c r="R201" s="32" t="s">
        <v>818</v>
      </c>
      <c r="S201" s="33">
        <f>3993.68</f>
        <v>3993.68</v>
      </c>
      <c r="T201" s="30">
        <f>6435</f>
        <v>6435</v>
      </c>
      <c r="U201" s="30" t="str">
        <f>"－"</f>
        <v>－</v>
      </c>
      <c r="V201" s="30">
        <f>25869910</f>
        <v>25869910</v>
      </c>
      <c r="W201" s="30" t="str">
        <f>"－"</f>
        <v>－</v>
      </c>
      <c r="X201" s="34">
        <f>19</f>
        <v>19</v>
      </c>
    </row>
    <row r="202" spans="1:24" x14ac:dyDescent="0.15">
      <c r="A202" s="25" t="s">
        <v>817</v>
      </c>
      <c r="B202" s="25" t="s">
        <v>638</v>
      </c>
      <c r="C202" s="25" t="s">
        <v>639</v>
      </c>
      <c r="D202" s="25" t="s">
        <v>640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11835</f>
        <v>11835</v>
      </c>
      <c r="L202" s="32" t="s">
        <v>811</v>
      </c>
      <c r="M202" s="31">
        <f>12430</f>
        <v>12430</v>
      </c>
      <c r="N202" s="32" t="s">
        <v>56</v>
      </c>
      <c r="O202" s="31">
        <f>11695</f>
        <v>11695</v>
      </c>
      <c r="P202" s="32" t="s">
        <v>66</v>
      </c>
      <c r="Q202" s="31">
        <f>11885</f>
        <v>11885</v>
      </c>
      <c r="R202" s="32" t="s">
        <v>818</v>
      </c>
      <c r="S202" s="33">
        <f>12079.67</f>
        <v>12079.67</v>
      </c>
      <c r="T202" s="30">
        <f>4584</f>
        <v>4584</v>
      </c>
      <c r="U202" s="30">
        <f>1</f>
        <v>1</v>
      </c>
      <c r="V202" s="30">
        <f>55364000</f>
        <v>55364000</v>
      </c>
      <c r="W202" s="30">
        <f>12270</f>
        <v>12270</v>
      </c>
      <c r="X202" s="34">
        <f>15</f>
        <v>15</v>
      </c>
    </row>
    <row r="203" spans="1:24" x14ac:dyDescent="0.15">
      <c r="A203" s="25" t="s">
        <v>817</v>
      </c>
      <c r="B203" s="25" t="s">
        <v>641</v>
      </c>
      <c r="C203" s="25" t="s">
        <v>642</v>
      </c>
      <c r="D203" s="25" t="s">
        <v>643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12710</f>
        <v>12710</v>
      </c>
      <c r="L203" s="32" t="s">
        <v>810</v>
      </c>
      <c r="M203" s="31">
        <f>12710</f>
        <v>12710</v>
      </c>
      <c r="N203" s="32" t="s">
        <v>810</v>
      </c>
      <c r="O203" s="31">
        <f>11895</f>
        <v>11895</v>
      </c>
      <c r="P203" s="32" t="s">
        <v>815</v>
      </c>
      <c r="Q203" s="31">
        <f>11895</f>
        <v>11895</v>
      </c>
      <c r="R203" s="32" t="s">
        <v>815</v>
      </c>
      <c r="S203" s="33">
        <f>12160</f>
        <v>12160</v>
      </c>
      <c r="T203" s="30">
        <f>17</f>
        <v>17</v>
      </c>
      <c r="U203" s="30" t="str">
        <f>"－"</f>
        <v>－</v>
      </c>
      <c r="V203" s="30">
        <f>204710</f>
        <v>204710</v>
      </c>
      <c r="W203" s="30" t="str">
        <f>"－"</f>
        <v>－</v>
      </c>
      <c r="X203" s="34">
        <f>4</f>
        <v>4</v>
      </c>
    </row>
    <row r="204" spans="1:24" x14ac:dyDescent="0.15">
      <c r="A204" s="25" t="s">
        <v>817</v>
      </c>
      <c r="B204" s="25" t="s">
        <v>644</v>
      </c>
      <c r="C204" s="25" t="s">
        <v>645</v>
      </c>
      <c r="D204" s="25" t="s">
        <v>646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14180</f>
        <v>14180</v>
      </c>
      <c r="L204" s="32" t="s">
        <v>814</v>
      </c>
      <c r="M204" s="31">
        <f>14180</f>
        <v>14180</v>
      </c>
      <c r="N204" s="32" t="s">
        <v>814</v>
      </c>
      <c r="O204" s="31">
        <f>13500</f>
        <v>13500</v>
      </c>
      <c r="P204" s="32" t="s">
        <v>812</v>
      </c>
      <c r="Q204" s="31">
        <f>13690</f>
        <v>13690</v>
      </c>
      <c r="R204" s="32" t="s">
        <v>266</v>
      </c>
      <c r="S204" s="33">
        <f>13710.83</f>
        <v>13710.83</v>
      </c>
      <c r="T204" s="30">
        <f>122</f>
        <v>122</v>
      </c>
      <c r="U204" s="30">
        <f>1</f>
        <v>1</v>
      </c>
      <c r="V204" s="30">
        <f>1651330</f>
        <v>1651330</v>
      </c>
      <c r="W204" s="30">
        <f>13820</f>
        <v>13820</v>
      </c>
      <c r="X204" s="34">
        <f>6</f>
        <v>6</v>
      </c>
    </row>
    <row r="205" spans="1:24" x14ac:dyDescent="0.15">
      <c r="A205" s="25" t="s">
        <v>817</v>
      </c>
      <c r="B205" s="25" t="s">
        <v>647</v>
      </c>
      <c r="C205" s="25" t="s">
        <v>648</v>
      </c>
      <c r="D205" s="25" t="s">
        <v>649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14505</f>
        <v>14505</v>
      </c>
      <c r="L205" s="32" t="s">
        <v>811</v>
      </c>
      <c r="M205" s="31">
        <f>14700</f>
        <v>14700</v>
      </c>
      <c r="N205" s="32" t="s">
        <v>811</v>
      </c>
      <c r="O205" s="31">
        <f>13575</f>
        <v>13575</v>
      </c>
      <c r="P205" s="32" t="s">
        <v>816</v>
      </c>
      <c r="Q205" s="31">
        <f>13675</f>
        <v>13675</v>
      </c>
      <c r="R205" s="32" t="s">
        <v>94</v>
      </c>
      <c r="S205" s="33">
        <f>14235.83</f>
        <v>14235.83</v>
      </c>
      <c r="T205" s="30">
        <f>125</f>
        <v>125</v>
      </c>
      <c r="U205" s="30" t="str">
        <f t="shared" ref="U205:U211" si="12">"－"</f>
        <v>－</v>
      </c>
      <c r="V205" s="30">
        <f>1817935</f>
        <v>1817935</v>
      </c>
      <c r="W205" s="30" t="str">
        <f t="shared" ref="W205:W211" si="13">"－"</f>
        <v>－</v>
      </c>
      <c r="X205" s="34">
        <f>6</f>
        <v>6</v>
      </c>
    </row>
    <row r="206" spans="1:24" x14ac:dyDescent="0.15">
      <c r="A206" s="25" t="s">
        <v>817</v>
      </c>
      <c r="B206" s="25" t="s">
        <v>650</v>
      </c>
      <c r="C206" s="25" t="s">
        <v>651</v>
      </c>
      <c r="D206" s="25" t="s">
        <v>652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12825</f>
        <v>12825</v>
      </c>
      <c r="L206" s="32" t="s">
        <v>811</v>
      </c>
      <c r="M206" s="31">
        <f>13040</f>
        <v>13040</v>
      </c>
      <c r="N206" s="32" t="s">
        <v>813</v>
      </c>
      <c r="O206" s="31">
        <f>12250</f>
        <v>12250</v>
      </c>
      <c r="P206" s="32" t="s">
        <v>818</v>
      </c>
      <c r="Q206" s="31">
        <f>12250</f>
        <v>12250</v>
      </c>
      <c r="R206" s="32" t="s">
        <v>818</v>
      </c>
      <c r="S206" s="33">
        <f>12766.36</f>
        <v>12766.36</v>
      </c>
      <c r="T206" s="30">
        <f>4798</f>
        <v>4798</v>
      </c>
      <c r="U206" s="30" t="str">
        <f t="shared" si="12"/>
        <v>－</v>
      </c>
      <c r="V206" s="30">
        <f>62494385</f>
        <v>62494385</v>
      </c>
      <c r="W206" s="30" t="str">
        <f t="shared" si="13"/>
        <v>－</v>
      </c>
      <c r="X206" s="34">
        <f>11</f>
        <v>11</v>
      </c>
    </row>
    <row r="207" spans="1:24" x14ac:dyDescent="0.15">
      <c r="A207" s="25" t="s">
        <v>817</v>
      </c>
      <c r="B207" s="25" t="s">
        <v>653</v>
      </c>
      <c r="C207" s="25" t="s">
        <v>654</v>
      </c>
      <c r="D207" s="25" t="s">
        <v>655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13525</f>
        <v>13525</v>
      </c>
      <c r="L207" s="32" t="s">
        <v>818</v>
      </c>
      <c r="M207" s="31">
        <f>13525</f>
        <v>13525</v>
      </c>
      <c r="N207" s="32" t="s">
        <v>818</v>
      </c>
      <c r="O207" s="31">
        <f>13525</f>
        <v>13525</v>
      </c>
      <c r="P207" s="32" t="s">
        <v>818</v>
      </c>
      <c r="Q207" s="31">
        <f>13525</f>
        <v>13525</v>
      </c>
      <c r="R207" s="32" t="s">
        <v>818</v>
      </c>
      <c r="S207" s="33">
        <f>13525</f>
        <v>13525</v>
      </c>
      <c r="T207" s="30">
        <f>200</f>
        <v>200</v>
      </c>
      <c r="U207" s="30" t="str">
        <f t="shared" si="12"/>
        <v>－</v>
      </c>
      <c r="V207" s="30">
        <f>2705000</f>
        <v>2705000</v>
      </c>
      <c r="W207" s="30" t="str">
        <f t="shared" si="13"/>
        <v>－</v>
      </c>
      <c r="X207" s="34">
        <f>1</f>
        <v>1</v>
      </c>
    </row>
    <row r="208" spans="1:24" x14ac:dyDescent="0.15">
      <c r="A208" s="25" t="s">
        <v>817</v>
      </c>
      <c r="B208" s="25" t="s">
        <v>656</v>
      </c>
      <c r="C208" s="25" t="s">
        <v>657</v>
      </c>
      <c r="D208" s="25" t="s">
        <v>658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12590</f>
        <v>12590</v>
      </c>
      <c r="L208" s="32" t="s">
        <v>816</v>
      </c>
      <c r="M208" s="31">
        <f>12590</f>
        <v>12590</v>
      </c>
      <c r="N208" s="32" t="s">
        <v>816</v>
      </c>
      <c r="O208" s="31">
        <f>12590</f>
        <v>12590</v>
      </c>
      <c r="P208" s="32" t="s">
        <v>816</v>
      </c>
      <c r="Q208" s="31">
        <f>12590</f>
        <v>12590</v>
      </c>
      <c r="R208" s="32" t="s">
        <v>816</v>
      </c>
      <c r="S208" s="33">
        <f>12590</f>
        <v>12590</v>
      </c>
      <c r="T208" s="30">
        <f>65</f>
        <v>65</v>
      </c>
      <c r="U208" s="30" t="str">
        <f t="shared" si="12"/>
        <v>－</v>
      </c>
      <c r="V208" s="30">
        <f>818350</f>
        <v>818350</v>
      </c>
      <c r="W208" s="30" t="str">
        <f t="shared" si="13"/>
        <v>－</v>
      </c>
      <c r="X208" s="34">
        <f>1</f>
        <v>1</v>
      </c>
    </row>
    <row r="209" spans="1:24" x14ac:dyDescent="0.15">
      <c r="A209" s="25" t="s">
        <v>817</v>
      </c>
      <c r="B209" s="25" t="s">
        <v>659</v>
      </c>
      <c r="C209" s="25" t="s">
        <v>660</v>
      </c>
      <c r="D209" s="25" t="s">
        <v>661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10260</f>
        <v>10260</v>
      </c>
      <c r="L209" s="32" t="s">
        <v>811</v>
      </c>
      <c r="M209" s="31">
        <f>10330</f>
        <v>10330</v>
      </c>
      <c r="N209" s="32" t="s">
        <v>811</v>
      </c>
      <c r="O209" s="31">
        <f>9250</f>
        <v>9250</v>
      </c>
      <c r="P209" s="32" t="s">
        <v>266</v>
      </c>
      <c r="Q209" s="31">
        <f>9488</f>
        <v>9488</v>
      </c>
      <c r="R209" s="32" t="s">
        <v>818</v>
      </c>
      <c r="S209" s="33">
        <f>9716.5</f>
        <v>9716.5</v>
      </c>
      <c r="T209" s="30">
        <f>2545</f>
        <v>2545</v>
      </c>
      <c r="U209" s="30" t="str">
        <f t="shared" si="12"/>
        <v>－</v>
      </c>
      <c r="V209" s="30">
        <f>24586690</f>
        <v>24586690</v>
      </c>
      <c r="W209" s="30" t="str">
        <f t="shared" si="13"/>
        <v>－</v>
      </c>
      <c r="X209" s="34">
        <f>12</f>
        <v>12</v>
      </c>
    </row>
    <row r="210" spans="1:24" x14ac:dyDescent="0.15">
      <c r="A210" s="25" t="s">
        <v>817</v>
      </c>
      <c r="B210" s="25" t="s">
        <v>662</v>
      </c>
      <c r="C210" s="25" t="s">
        <v>663</v>
      </c>
      <c r="D210" s="25" t="s">
        <v>664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11975</f>
        <v>11975</v>
      </c>
      <c r="L210" s="32" t="s">
        <v>811</v>
      </c>
      <c r="M210" s="31">
        <f>12045</f>
        <v>12045</v>
      </c>
      <c r="N210" s="32" t="s">
        <v>811</v>
      </c>
      <c r="O210" s="31">
        <f>10040</f>
        <v>10040</v>
      </c>
      <c r="P210" s="32" t="s">
        <v>266</v>
      </c>
      <c r="Q210" s="31">
        <f>10415</f>
        <v>10415</v>
      </c>
      <c r="R210" s="32" t="s">
        <v>818</v>
      </c>
      <c r="S210" s="33">
        <f>10990.53</f>
        <v>10990.53</v>
      </c>
      <c r="T210" s="30">
        <f>23603</f>
        <v>23603</v>
      </c>
      <c r="U210" s="30" t="str">
        <f t="shared" si="12"/>
        <v>－</v>
      </c>
      <c r="V210" s="30">
        <f>257621025</f>
        <v>257621025</v>
      </c>
      <c r="W210" s="30" t="str">
        <f t="shared" si="13"/>
        <v>－</v>
      </c>
      <c r="X210" s="34">
        <f>19</f>
        <v>19</v>
      </c>
    </row>
    <row r="211" spans="1:24" x14ac:dyDescent="0.15">
      <c r="A211" s="25" t="s">
        <v>817</v>
      </c>
      <c r="B211" s="25" t="s">
        <v>665</v>
      </c>
      <c r="C211" s="25" t="s">
        <v>666</v>
      </c>
      <c r="D211" s="25" t="s">
        <v>667</v>
      </c>
      <c r="E211" s="26" t="s">
        <v>45</v>
      </c>
      <c r="F211" s="27" t="s">
        <v>45</v>
      </c>
      <c r="G211" s="28" t="s">
        <v>45</v>
      </c>
      <c r="H211" s="29"/>
      <c r="I211" s="29" t="s">
        <v>589</v>
      </c>
      <c r="J211" s="30">
        <v>1</v>
      </c>
      <c r="K211" s="31">
        <f>9920</f>
        <v>9920</v>
      </c>
      <c r="L211" s="32" t="s">
        <v>810</v>
      </c>
      <c r="M211" s="31">
        <f>9920</f>
        <v>9920</v>
      </c>
      <c r="N211" s="32" t="s">
        <v>810</v>
      </c>
      <c r="O211" s="31">
        <f>9193</f>
        <v>9193</v>
      </c>
      <c r="P211" s="32" t="s">
        <v>94</v>
      </c>
      <c r="Q211" s="31">
        <f>9193</f>
        <v>9193</v>
      </c>
      <c r="R211" s="32" t="s">
        <v>94</v>
      </c>
      <c r="S211" s="33">
        <f>9566.17</f>
        <v>9566.17</v>
      </c>
      <c r="T211" s="30">
        <f>5307</f>
        <v>5307</v>
      </c>
      <c r="U211" s="30" t="str">
        <f t="shared" si="12"/>
        <v>－</v>
      </c>
      <c r="V211" s="30">
        <f>50888772</f>
        <v>50888772</v>
      </c>
      <c r="W211" s="30" t="str">
        <f t="shared" si="13"/>
        <v>－</v>
      </c>
      <c r="X211" s="34">
        <f>12</f>
        <v>12</v>
      </c>
    </row>
    <row r="212" spans="1:24" x14ac:dyDescent="0.15">
      <c r="A212" s="25" t="s">
        <v>817</v>
      </c>
      <c r="B212" s="25" t="s">
        <v>668</v>
      </c>
      <c r="C212" s="25" t="s">
        <v>669</v>
      </c>
      <c r="D212" s="25" t="s">
        <v>670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992.8</f>
        <v>992.8</v>
      </c>
      <c r="L212" s="32" t="s">
        <v>811</v>
      </c>
      <c r="M212" s="31">
        <f>992.8</f>
        <v>992.8</v>
      </c>
      <c r="N212" s="32" t="s">
        <v>811</v>
      </c>
      <c r="O212" s="31">
        <f>985</f>
        <v>985</v>
      </c>
      <c r="P212" s="32" t="s">
        <v>818</v>
      </c>
      <c r="Q212" s="31">
        <f>986.2</f>
        <v>986.2</v>
      </c>
      <c r="R212" s="32" t="s">
        <v>818</v>
      </c>
      <c r="S212" s="33">
        <f>989.6</f>
        <v>989.6</v>
      </c>
      <c r="T212" s="30">
        <f>7192490</f>
        <v>7192490</v>
      </c>
      <c r="U212" s="30">
        <f>3457120</f>
        <v>3457120</v>
      </c>
      <c r="V212" s="30">
        <f>7121759697</f>
        <v>7121759697</v>
      </c>
      <c r="W212" s="30">
        <f>3424743056</f>
        <v>3424743056</v>
      </c>
      <c r="X212" s="34">
        <f>19</f>
        <v>19</v>
      </c>
    </row>
    <row r="213" spans="1:24" x14ac:dyDescent="0.15">
      <c r="A213" s="25" t="s">
        <v>817</v>
      </c>
      <c r="B213" s="25" t="s">
        <v>671</v>
      </c>
      <c r="C213" s="25" t="s">
        <v>672</v>
      </c>
      <c r="D213" s="25" t="s">
        <v>673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1024</f>
        <v>1024</v>
      </c>
      <c r="L213" s="32" t="s">
        <v>811</v>
      </c>
      <c r="M213" s="31">
        <f>1031</f>
        <v>1031</v>
      </c>
      <c r="N213" s="32" t="s">
        <v>810</v>
      </c>
      <c r="O213" s="31">
        <f>999</f>
        <v>999</v>
      </c>
      <c r="P213" s="32" t="s">
        <v>266</v>
      </c>
      <c r="Q213" s="31">
        <f>1007</f>
        <v>1007</v>
      </c>
      <c r="R213" s="32" t="s">
        <v>818</v>
      </c>
      <c r="S213" s="33">
        <f>1013.08</f>
        <v>1013.08</v>
      </c>
      <c r="T213" s="30">
        <f>2815040</f>
        <v>2815040</v>
      </c>
      <c r="U213" s="30">
        <f>1034160</f>
        <v>1034160</v>
      </c>
      <c r="V213" s="30">
        <f>2854577090</f>
        <v>2854577090</v>
      </c>
      <c r="W213" s="30">
        <f>1051147500</f>
        <v>1051147500</v>
      </c>
      <c r="X213" s="34">
        <f>19</f>
        <v>19</v>
      </c>
    </row>
    <row r="214" spans="1:24" x14ac:dyDescent="0.15">
      <c r="A214" s="25" t="s">
        <v>817</v>
      </c>
      <c r="B214" s="25" t="s">
        <v>674</v>
      </c>
      <c r="C214" s="25" t="s">
        <v>675</v>
      </c>
      <c r="D214" s="25" t="s">
        <v>676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1009.5</f>
        <v>1009.5</v>
      </c>
      <c r="L214" s="32" t="s">
        <v>811</v>
      </c>
      <c r="M214" s="31">
        <f>1009.5</f>
        <v>1009.5</v>
      </c>
      <c r="N214" s="32" t="s">
        <v>811</v>
      </c>
      <c r="O214" s="31">
        <f>992.7</f>
        <v>992.7</v>
      </c>
      <c r="P214" s="32" t="s">
        <v>816</v>
      </c>
      <c r="Q214" s="31">
        <f>997.3</f>
        <v>997.3</v>
      </c>
      <c r="R214" s="32" t="s">
        <v>818</v>
      </c>
      <c r="S214" s="33">
        <f>999.75</f>
        <v>999.75</v>
      </c>
      <c r="T214" s="30">
        <f>13888040</f>
        <v>13888040</v>
      </c>
      <c r="U214" s="30">
        <f>7228690</f>
        <v>7228690</v>
      </c>
      <c r="V214" s="30">
        <f>13887543475</f>
        <v>13887543475</v>
      </c>
      <c r="W214" s="30">
        <f>7232115831</f>
        <v>7232115831</v>
      </c>
      <c r="X214" s="34">
        <f>19</f>
        <v>19</v>
      </c>
    </row>
    <row r="215" spans="1:24" x14ac:dyDescent="0.15">
      <c r="A215" s="25" t="s">
        <v>817</v>
      </c>
      <c r="B215" s="25" t="s">
        <v>677</v>
      </c>
      <c r="C215" s="25" t="s">
        <v>678</v>
      </c>
      <c r="D215" s="25" t="s">
        <v>679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1696</f>
        <v>1696</v>
      </c>
      <c r="L215" s="32" t="s">
        <v>811</v>
      </c>
      <c r="M215" s="31">
        <f>1716</f>
        <v>1716</v>
      </c>
      <c r="N215" s="32" t="s">
        <v>810</v>
      </c>
      <c r="O215" s="31">
        <f>1520.5</f>
        <v>1520.5</v>
      </c>
      <c r="P215" s="32" t="s">
        <v>266</v>
      </c>
      <c r="Q215" s="31">
        <f>1584</f>
        <v>1584</v>
      </c>
      <c r="R215" s="32" t="s">
        <v>818</v>
      </c>
      <c r="S215" s="33">
        <f>1623.89</f>
        <v>1623.89</v>
      </c>
      <c r="T215" s="30">
        <f>4017150</f>
        <v>4017150</v>
      </c>
      <c r="U215" s="30">
        <f>2221780</f>
        <v>2221780</v>
      </c>
      <c r="V215" s="30">
        <f>6559630922</f>
        <v>6559630922</v>
      </c>
      <c r="W215" s="30">
        <f>3623936287</f>
        <v>3623936287</v>
      </c>
      <c r="X215" s="34">
        <f>19</f>
        <v>19</v>
      </c>
    </row>
    <row r="216" spans="1:24" x14ac:dyDescent="0.15">
      <c r="A216" s="25" t="s">
        <v>817</v>
      </c>
      <c r="B216" s="25" t="s">
        <v>680</v>
      </c>
      <c r="C216" s="25" t="s">
        <v>681</v>
      </c>
      <c r="D216" s="25" t="s">
        <v>682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1600</f>
        <v>1600</v>
      </c>
      <c r="L216" s="32" t="s">
        <v>811</v>
      </c>
      <c r="M216" s="31">
        <f>1606</f>
        <v>1606</v>
      </c>
      <c r="N216" s="32" t="s">
        <v>811</v>
      </c>
      <c r="O216" s="31">
        <f>1448</f>
        <v>1448</v>
      </c>
      <c r="P216" s="32" t="s">
        <v>266</v>
      </c>
      <c r="Q216" s="31">
        <f>1498.5</f>
        <v>1498.5</v>
      </c>
      <c r="R216" s="32" t="s">
        <v>818</v>
      </c>
      <c r="S216" s="33">
        <f>1535.55</f>
        <v>1535.55</v>
      </c>
      <c r="T216" s="30">
        <f>1200760</f>
        <v>1200760</v>
      </c>
      <c r="U216" s="30">
        <f>1025000</f>
        <v>1025000</v>
      </c>
      <c r="V216" s="30">
        <f>1837422930</f>
        <v>1837422930</v>
      </c>
      <c r="W216" s="30">
        <f>1561928000</f>
        <v>1561928000</v>
      </c>
      <c r="X216" s="34">
        <f>19</f>
        <v>19</v>
      </c>
    </row>
    <row r="217" spans="1:24" x14ac:dyDescent="0.15">
      <c r="A217" s="25" t="s">
        <v>817</v>
      </c>
      <c r="B217" s="25" t="s">
        <v>683</v>
      </c>
      <c r="C217" s="25" t="s">
        <v>684</v>
      </c>
      <c r="D217" s="25" t="s">
        <v>685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1326</f>
        <v>1326</v>
      </c>
      <c r="L217" s="32" t="s">
        <v>811</v>
      </c>
      <c r="M217" s="31">
        <f>1336</f>
        <v>1336</v>
      </c>
      <c r="N217" s="32" t="s">
        <v>810</v>
      </c>
      <c r="O217" s="31">
        <f>1190</f>
        <v>1190</v>
      </c>
      <c r="P217" s="32" t="s">
        <v>94</v>
      </c>
      <c r="Q217" s="31">
        <f>1241.5</f>
        <v>1241.5</v>
      </c>
      <c r="R217" s="32" t="s">
        <v>818</v>
      </c>
      <c r="S217" s="33">
        <f>1265.61</f>
        <v>1265.6099999999999</v>
      </c>
      <c r="T217" s="30">
        <f>859220</f>
        <v>859220</v>
      </c>
      <c r="U217" s="30">
        <f>479530</f>
        <v>479530</v>
      </c>
      <c r="V217" s="30">
        <f>1086710994</f>
        <v>1086710994</v>
      </c>
      <c r="W217" s="30">
        <f>607258484</f>
        <v>607258484</v>
      </c>
      <c r="X217" s="34">
        <f>19</f>
        <v>19</v>
      </c>
    </row>
    <row r="218" spans="1:24" x14ac:dyDescent="0.15">
      <c r="A218" s="25" t="s">
        <v>817</v>
      </c>
      <c r="B218" s="25" t="s">
        <v>686</v>
      </c>
      <c r="C218" s="25" t="s">
        <v>687</v>
      </c>
      <c r="D218" s="25" t="s">
        <v>688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764.5</f>
        <v>764.5</v>
      </c>
      <c r="L218" s="32" t="s">
        <v>811</v>
      </c>
      <c r="M218" s="31">
        <f>764.5</f>
        <v>764.5</v>
      </c>
      <c r="N218" s="32" t="s">
        <v>811</v>
      </c>
      <c r="O218" s="31">
        <f>553.7</f>
        <v>553.70000000000005</v>
      </c>
      <c r="P218" s="32" t="s">
        <v>94</v>
      </c>
      <c r="Q218" s="31">
        <f>587.6</f>
        <v>587.6</v>
      </c>
      <c r="R218" s="32" t="s">
        <v>818</v>
      </c>
      <c r="S218" s="33">
        <f>647.26</f>
        <v>647.26</v>
      </c>
      <c r="T218" s="30">
        <f>52397090</f>
        <v>52397090</v>
      </c>
      <c r="U218" s="30">
        <f>294280</f>
        <v>294280</v>
      </c>
      <c r="V218" s="30">
        <f>33270138575</f>
        <v>33270138575</v>
      </c>
      <c r="W218" s="30">
        <f>206819823</f>
        <v>206819823</v>
      </c>
      <c r="X218" s="34">
        <f>19</f>
        <v>19</v>
      </c>
    </row>
    <row r="219" spans="1:24" x14ac:dyDescent="0.15">
      <c r="A219" s="25" t="s">
        <v>817</v>
      </c>
      <c r="B219" s="25" t="s">
        <v>689</v>
      </c>
      <c r="C219" s="25" t="s">
        <v>690</v>
      </c>
      <c r="D219" s="25" t="s">
        <v>691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1219</f>
        <v>1219</v>
      </c>
      <c r="L219" s="32" t="s">
        <v>811</v>
      </c>
      <c r="M219" s="31">
        <f>1219</f>
        <v>1219</v>
      </c>
      <c r="N219" s="32" t="s">
        <v>811</v>
      </c>
      <c r="O219" s="31">
        <f>1050</f>
        <v>1050</v>
      </c>
      <c r="P219" s="32" t="s">
        <v>66</v>
      </c>
      <c r="Q219" s="31">
        <f>1147</f>
        <v>1147</v>
      </c>
      <c r="R219" s="32" t="s">
        <v>818</v>
      </c>
      <c r="S219" s="33">
        <f>1147.58</f>
        <v>1147.58</v>
      </c>
      <c r="T219" s="30">
        <f>1088500</f>
        <v>1088500</v>
      </c>
      <c r="U219" s="30">
        <f>563970</f>
        <v>563970</v>
      </c>
      <c r="V219" s="30">
        <f>1261244374</f>
        <v>1261244374</v>
      </c>
      <c r="W219" s="30">
        <f>654726519</f>
        <v>654726519</v>
      </c>
      <c r="X219" s="34">
        <f>19</f>
        <v>19</v>
      </c>
    </row>
    <row r="220" spans="1:24" x14ac:dyDescent="0.15">
      <c r="A220" s="25" t="s">
        <v>817</v>
      </c>
      <c r="B220" s="25" t="s">
        <v>692</v>
      </c>
      <c r="C220" s="25" t="s">
        <v>693</v>
      </c>
      <c r="D220" s="25" t="s">
        <v>694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</v>
      </c>
      <c r="K220" s="31">
        <f>1167</f>
        <v>1167</v>
      </c>
      <c r="L220" s="32" t="s">
        <v>811</v>
      </c>
      <c r="M220" s="31">
        <f>1200</f>
        <v>1200</v>
      </c>
      <c r="N220" s="32" t="s">
        <v>810</v>
      </c>
      <c r="O220" s="31">
        <f>1045</f>
        <v>1045</v>
      </c>
      <c r="P220" s="32" t="s">
        <v>266</v>
      </c>
      <c r="Q220" s="31">
        <f>1079</f>
        <v>1079</v>
      </c>
      <c r="R220" s="32" t="s">
        <v>818</v>
      </c>
      <c r="S220" s="33">
        <f>1118.63</f>
        <v>1118.6300000000001</v>
      </c>
      <c r="T220" s="30">
        <f>58226</f>
        <v>58226</v>
      </c>
      <c r="U220" s="30">
        <f>22000</f>
        <v>22000</v>
      </c>
      <c r="V220" s="30">
        <f>66761731</f>
        <v>66761731</v>
      </c>
      <c r="W220" s="30">
        <f>24930180</f>
        <v>24930180</v>
      </c>
      <c r="X220" s="34">
        <f>19</f>
        <v>19</v>
      </c>
    </row>
    <row r="221" spans="1:24" x14ac:dyDescent="0.15">
      <c r="A221" s="25" t="s">
        <v>817</v>
      </c>
      <c r="B221" s="25" t="s">
        <v>696</v>
      </c>
      <c r="C221" s="25" t="s">
        <v>697</v>
      </c>
      <c r="D221" s="25" t="s">
        <v>698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1059.5</f>
        <v>1059.5</v>
      </c>
      <c r="L221" s="32" t="s">
        <v>811</v>
      </c>
      <c r="M221" s="31">
        <f>1060</f>
        <v>1060</v>
      </c>
      <c r="N221" s="32" t="s">
        <v>811</v>
      </c>
      <c r="O221" s="31">
        <f>999</f>
        <v>999</v>
      </c>
      <c r="P221" s="32" t="s">
        <v>815</v>
      </c>
      <c r="Q221" s="31">
        <f>1022</f>
        <v>1022</v>
      </c>
      <c r="R221" s="32" t="s">
        <v>818</v>
      </c>
      <c r="S221" s="33">
        <f>1025.68</f>
        <v>1025.68</v>
      </c>
      <c r="T221" s="30">
        <f>189790</f>
        <v>189790</v>
      </c>
      <c r="U221" s="30">
        <f>117520</f>
        <v>117520</v>
      </c>
      <c r="V221" s="30">
        <f>194651576</f>
        <v>194651576</v>
      </c>
      <c r="W221" s="30">
        <f>120789387</f>
        <v>120789387</v>
      </c>
      <c r="X221" s="34">
        <f>19</f>
        <v>19</v>
      </c>
    </row>
    <row r="222" spans="1:24" x14ac:dyDescent="0.15">
      <c r="A222" s="25" t="s">
        <v>817</v>
      </c>
      <c r="B222" s="25" t="s">
        <v>699</v>
      </c>
      <c r="C222" s="25" t="s">
        <v>700</v>
      </c>
      <c r="D222" s="25" t="s">
        <v>701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1223</f>
        <v>1223</v>
      </c>
      <c r="L222" s="32" t="s">
        <v>811</v>
      </c>
      <c r="M222" s="31">
        <f>1265</f>
        <v>1265</v>
      </c>
      <c r="N222" s="32" t="s">
        <v>56</v>
      </c>
      <c r="O222" s="31">
        <f>1168</f>
        <v>1168</v>
      </c>
      <c r="P222" s="32" t="s">
        <v>266</v>
      </c>
      <c r="Q222" s="31">
        <f>1198</f>
        <v>1198</v>
      </c>
      <c r="R222" s="32" t="s">
        <v>818</v>
      </c>
      <c r="S222" s="33">
        <f>1222.95</f>
        <v>1222.95</v>
      </c>
      <c r="T222" s="30">
        <f>107130</f>
        <v>107130</v>
      </c>
      <c r="U222" s="30">
        <f>35340</f>
        <v>35340</v>
      </c>
      <c r="V222" s="30">
        <f>131839249</f>
        <v>131839249</v>
      </c>
      <c r="W222" s="30">
        <f>43586334</f>
        <v>43586334</v>
      </c>
      <c r="X222" s="34">
        <f>19</f>
        <v>19</v>
      </c>
    </row>
    <row r="223" spans="1:24" x14ac:dyDescent="0.15">
      <c r="A223" s="25" t="s">
        <v>817</v>
      </c>
      <c r="B223" s="25" t="s">
        <v>702</v>
      </c>
      <c r="C223" s="25" t="s">
        <v>703</v>
      </c>
      <c r="D223" s="25" t="s">
        <v>704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1679.5</f>
        <v>1679.5</v>
      </c>
      <c r="L223" s="32" t="s">
        <v>811</v>
      </c>
      <c r="M223" s="31">
        <f>1686</f>
        <v>1686</v>
      </c>
      <c r="N223" s="32" t="s">
        <v>811</v>
      </c>
      <c r="O223" s="31">
        <f>1487.5</f>
        <v>1487.5</v>
      </c>
      <c r="P223" s="32" t="s">
        <v>266</v>
      </c>
      <c r="Q223" s="31">
        <f>1546.5</f>
        <v>1546.5</v>
      </c>
      <c r="R223" s="32" t="s">
        <v>818</v>
      </c>
      <c r="S223" s="33">
        <f>1597.71</f>
        <v>1597.71</v>
      </c>
      <c r="T223" s="30">
        <f>14944520</f>
        <v>14944520</v>
      </c>
      <c r="U223" s="30">
        <f>7292200</f>
        <v>7292200</v>
      </c>
      <c r="V223" s="30">
        <f>23847242270</f>
        <v>23847242270</v>
      </c>
      <c r="W223" s="30">
        <f>11643996600</f>
        <v>11643996600</v>
      </c>
      <c r="X223" s="34">
        <f>19</f>
        <v>19</v>
      </c>
    </row>
    <row r="224" spans="1:24" x14ac:dyDescent="0.15">
      <c r="A224" s="25" t="s">
        <v>817</v>
      </c>
      <c r="B224" s="25" t="s">
        <v>705</v>
      </c>
      <c r="C224" s="25" t="s">
        <v>706</v>
      </c>
      <c r="D224" s="25" t="s">
        <v>707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</v>
      </c>
      <c r="K224" s="31">
        <f>4435</f>
        <v>4435</v>
      </c>
      <c r="L224" s="32" t="s">
        <v>811</v>
      </c>
      <c r="M224" s="31">
        <f>4470</f>
        <v>4470</v>
      </c>
      <c r="N224" s="32" t="s">
        <v>811</v>
      </c>
      <c r="O224" s="31">
        <f>3550</f>
        <v>3550</v>
      </c>
      <c r="P224" s="32" t="s">
        <v>266</v>
      </c>
      <c r="Q224" s="31">
        <f>3680</f>
        <v>3680</v>
      </c>
      <c r="R224" s="32" t="s">
        <v>818</v>
      </c>
      <c r="S224" s="33">
        <f>4000.79</f>
        <v>4000.79</v>
      </c>
      <c r="T224" s="30">
        <f>275197</f>
        <v>275197</v>
      </c>
      <c r="U224" s="30">
        <f>80205</f>
        <v>80205</v>
      </c>
      <c r="V224" s="30">
        <f>1053537619</f>
        <v>1053537619</v>
      </c>
      <c r="W224" s="30">
        <f>289747969</f>
        <v>289747969</v>
      </c>
      <c r="X224" s="34">
        <f>19</f>
        <v>19</v>
      </c>
    </row>
    <row r="225" spans="1:24" x14ac:dyDescent="0.15">
      <c r="A225" s="25" t="s">
        <v>817</v>
      </c>
      <c r="B225" s="25" t="s">
        <v>708</v>
      </c>
      <c r="C225" s="25" t="s">
        <v>709</v>
      </c>
      <c r="D225" s="25" t="s">
        <v>710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1720</f>
        <v>1720</v>
      </c>
      <c r="L225" s="32" t="s">
        <v>811</v>
      </c>
      <c r="M225" s="31">
        <f>1733</f>
        <v>1733</v>
      </c>
      <c r="N225" s="32" t="s">
        <v>810</v>
      </c>
      <c r="O225" s="31">
        <f>1542</f>
        <v>1542</v>
      </c>
      <c r="P225" s="32" t="s">
        <v>94</v>
      </c>
      <c r="Q225" s="31">
        <f>1559.5</f>
        <v>1559.5</v>
      </c>
      <c r="R225" s="32" t="s">
        <v>818</v>
      </c>
      <c r="S225" s="33">
        <f>1667.06</f>
        <v>1667.06</v>
      </c>
      <c r="T225" s="30">
        <f>8440</f>
        <v>8440</v>
      </c>
      <c r="U225" s="30" t="str">
        <f>"－"</f>
        <v>－</v>
      </c>
      <c r="V225" s="30">
        <f>13649005</f>
        <v>13649005</v>
      </c>
      <c r="W225" s="30" t="str">
        <f>"－"</f>
        <v>－</v>
      </c>
      <c r="X225" s="34">
        <f>18</f>
        <v>18</v>
      </c>
    </row>
    <row r="226" spans="1:24" x14ac:dyDescent="0.15">
      <c r="A226" s="25" t="s">
        <v>817</v>
      </c>
      <c r="B226" s="25" t="s">
        <v>711</v>
      </c>
      <c r="C226" s="25" t="s">
        <v>712</v>
      </c>
      <c r="D226" s="25" t="s">
        <v>713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2051</f>
        <v>2051</v>
      </c>
      <c r="L226" s="32" t="s">
        <v>811</v>
      </c>
      <c r="M226" s="31">
        <f>2084.5</f>
        <v>2084.5</v>
      </c>
      <c r="N226" s="32" t="s">
        <v>810</v>
      </c>
      <c r="O226" s="31">
        <f>1881.5</f>
        <v>1881.5</v>
      </c>
      <c r="P226" s="32" t="s">
        <v>266</v>
      </c>
      <c r="Q226" s="31">
        <f>1928.5</f>
        <v>1928.5</v>
      </c>
      <c r="R226" s="32" t="s">
        <v>818</v>
      </c>
      <c r="S226" s="33">
        <f>1993.61</f>
        <v>1993.61</v>
      </c>
      <c r="T226" s="30">
        <f>488350</f>
        <v>488350</v>
      </c>
      <c r="U226" s="30" t="str">
        <f>"－"</f>
        <v>－</v>
      </c>
      <c r="V226" s="30">
        <f>990408270</f>
        <v>990408270</v>
      </c>
      <c r="W226" s="30" t="str">
        <f>"－"</f>
        <v>－</v>
      </c>
      <c r="X226" s="34">
        <f>19</f>
        <v>19</v>
      </c>
    </row>
    <row r="227" spans="1:24" x14ac:dyDescent="0.15">
      <c r="A227" s="25" t="s">
        <v>817</v>
      </c>
      <c r="B227" s="25" t="s">
        <v>714</v>
      </c>
      <c r="C227" s="25" t="s">
        <v>715</v>
      </c>
      <c r="D227" s="25" t="s">
        <v>716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29525</f>
        <v>29525</v>
      </c>
      <c r="L227" s="32" t="s">
        <v>811</v>
      </c>
      <c r="M227" s="31">
        <f>29730</f>
        <v>29730</v>
      </c>
      <c r="N227" s="32" t="s">
        <v>811</v>
      </c>
      <c r="O227" s="31">
        <f>26450</f>
        <v>26450</v>
      </c>
      <c r="P227" s="32" t="s">
        <v>266</v>
      </c>
      <c r="Q227" s="31">
        <f>27505</f>
        <v>27505</v>
      </c>
      <c r="R227" s="32" t="s">
        <v>818</v>
      </c>
      <c r="S227" s="33">
        <f>28195</f>
        <v>28195</v>
      </c>
      <c r="T227" s="30">
        <f>14384</f>
        <v>14384</v>
      </c>
      <c r="U227" s="30" t="str">
        <f>"－"</f>
        <v>－</v>
      </c>
      <c r="V227" s="30">
        <f>401589000</f>
        <v>401589000</v>
      </c>
      <c r="W227" s="30" t="str">
        <f>"－"</f>
        <v>－</v>
      </c>
      <c r="X227" s="34">
        <f>17</f>
        <v>17</v>
      </c>
    </row>
    <row r="228" spans="1:24" x14ac:dyDescent="0.15">
      <c r="A228" s="25" t="s">
        <v>817</v>
      </c>
      <c r="B228" s="25" t="s">
        <v>717</v>
      </c>
      <c r="C228" s="25" t="s">
        <v>718</v>
      </c>
      <c r="D228" s="25" t="s">
        <v>719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</v>
      </c>
      <c r="K228" s="31">
        <f>18580</f>
        <v>18580</v>
      </c>
      <c r="L228" s="32" t="s">
        <v>811</v>
      </c>
      <c r="M228" s="31">
        <f>19120</f>
        <v>19120</v>
      </c>
      <c r="N228" s="32" t="s">
        <v>80</v>
      </c>
      <c r="O228" s="31">
        <f>17010</f>
        <v>17010</v>
      </c>
      <c r="P228" s="32" t="s">
        <v>266</v>
      </c>
      <c r="Q228" s="31">
        <f>17350</f>
        <v>17350</v>
      </c>
      <c r="R228" s="32" t="s">
        <v>818</v>
      </c>
      <c r="S228" s="33">
        <f>17877.67</f>
        <v>17877.669999999998</v>
      </c>
      <c r="T228" s="30">
        <f>7752</f>
        <v>7752</v>
      </c>
      <c r="U228" s="30" t="str">
        <f>"－"</f>
        <v>－</v>
      </c>
      <c r="V228" s="30">
        <f>137497190</f>
        <v>137497190</v>
      </c>
      <c r="W228" s="30" t="str">
        <f>"－"</f>
        <v>－</v>
      </c>
      <c r="X228" s="34">
        <f>15</f>
        <v>15</v>
      </c>
    </row>
    <row r="229" spans="1:24" x14ac:dyDescent="0.15">
      <c r="A229" s="25" t="s">
        <v>817</v>
      </c>
      <c r="B229" s="25" t="s">
        <v>720</v>
      </c>
      <c r="C229" s="25" t="s">
        <v>721</v>
      </c>
      <c r="D229" s="25" t="s">
        <v>722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1344.5</f>
        <v>1344.5</v>
      </c>
      <c r="L229" s="32" t="s">
        <v>810</v>
      </c>
      <c r="M229" s="31">
        <f>1344.5</f>
        <v>1344.5</v>
      </c>
      <c r="N229" s="32" t="s">
        <v>810</v>
      </c>
      <c r="O229" s="31">
        <f>1051</f>
        <v>1051</v>
      </c>
      <c r="P229" s="32" t="s">
        <v>66</v>
      </c>
      <c r="Q229" s="31">
        <f>1143.5</f>
        <v>1143.5</v>
      </c>
      <c r="R229" s="32" t="s">
        <v>818</v>
      </c>
      <c r="S229" s="33">
        <f>1151.41</f>
        <v>1151.4100000000001</v>
      </c>
      <c r="T229" s="30">
        <f>767960</f>
        <v>767960</v>
      </c>
      <c r="U229" s="30">
        <f>316000</f>
        <v>316000</v>
      </c>
      <c r="V229" s="30">
        <f>884645346</f>
        <v>884645346</v>
      </c>
      <c r="W229" s="30">
        <f>367281666</f>
        <v>367281666</v>
      </c>
      <c r="X229" s="34">
        <f>17</f>
        <v>17</v>
      </c>
    </row>
    <row r="230" spans="1:24" x14ac:dyDescent="0.15">
      <c r="A230" s="25" t="s">
        <v>817</v>
      </c>
      <c r="B230" s="25" t="s">
        <v>723</v>
      </c>
      <c r="C230" s="25" t="s">
        <v>724</v>
      </c>
      <c r="D230" s="25" t="s">
        <v>725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1212</f>
        <v>1212</v>
      </c>
      <c r="L230" s="32" t="s">
        <v>811</v>
      </c>
      <c r="M230" s="31">
        <f>1217</f>
        <v>1217</v>
      </c>
      <c r="N230" s="32" t="s">
        <v>810</v>
      </c>
      <c r="O230" s="31">
        <f>1048.5</f>
        <v>1048.5</v>
      </c>
      <c r="P230" s="32" t="s">
        <v>66</v>
      </c>
      <c r="Q230" s="31">
        <f>1141</f>
        <v>1141</v>
      </c>
      <c r="R230" s="32" t="s">
        <v>818</v>
      </c>
      <c r="S230" s="33">
        <f>1145.68</f>
        <v>1145.68</v>
      </c>
      <c r="T230" s="30">
        <f>151240</f>
        <v>151240</v>
      </c>
      <c r="U230" s="30">
        <f>100000</f>
        <v>100000</v>
      </c>
      <c r="V230" s="30">
        <f>166886320</f>
        <v>166886320</v>
      </c>
      <c r="W230" s="30">
        <f>109632000</f>
        <v>109632000</v>
      </c>
      <c r="X230" s="34">
        <f>19</f>
        <v>19</v>
      </c>
    </row>
    <row r="231" spans="1:24" x14ac:dyDescent="0.15">
      <c r="A231" s="25" t="s">
        <v>817</v>
      </c>
      <c r="B231" s="25" t="s">
        <v>726</v>
      </c>
      <c r="C231" s="25" t="s">
        <v>727</v>
      </c>
      <c r="D231" s="25" t="s">
        <v>728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1150</f>
        <v>1150</v>
      </c>
      <c r="L231" s="32" t="s">
        <v>811</v>
      </c>
      <c r="M231" s="31">
        <f>1180</f>
        <v>1180</v>
      </c>
      <c r="N231" s="32" t="s">
        <v>821</v>
      </c>
      <c r="O231" s="31">
        <f>1095</f>
        <v>1095</v>
      </c>
      <c r="P231" s="32" t="s">
        <v>266</v>
      </c>
      <c r="Q231" s="31">
        <f>1122</f>
        <v>1122</v>
      </c>
      <c r="R231" s="32" t="s">
        <v>818</v>
      </c>
      <c r="S231" s="33">
        <f>1142.95</f>
        <v>1142.95</v>
      </c>
      <c r="T231" s="30">
        <f>20092</f>
        <v>20092</v>
      </c>
      <c r="U231" s="30">
        <f>4</f>
        <v>4</v>
      </c>
      <c r="V231" s="30">
        <f>22938332</f>
        <v>22938332</v>
      </c>
      <c r="W231" s="30">
        <f>4760</f>
        <v>4760</v>
      </c>
      <c r="X231" s="34">
        <f>19</f>
        <v>19</v>
      </c>
    </row>
    <row r="232" spans="1:24" x14ac:dyDescent="0.15">
      <c r="A232" s="25" t="s">
        <v>817</v>
      </c>
      <c r="B232" s="25" t="s">
        <v>729</v>
      </c>
      <c r="C232" s="25" t="s">
        <v>730</v>
      </c>
      <c r="D232" s="25" t="s">
        <v>731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14380</f>
        <v>14380</v>
      </c>
      <c r="L232" s="32" t="s">
        <v>811</v>
      </c>
      <c r="M232" s="31">
        <f>14500</f>
        <v>14500</v>
      </c>
      <c r="N232" s="32" t="s">
        <v>811</v>
      </c>
      <c r="O232" s="31">
        <f>13280</f>
        <v>13280</v>
      </c>
      <c r="P232" s="32" t="s">
        <v>818</v>
      </c>
      <c r="Q232" s="31">
        <f>13650</f>
        <v>13650</v>
      </c>
      <c r="R232" s="32" t="s">
        <v>818</v>
      </c>
      <c r="S232" s="33">
        <f>13929.74</f>
        <v>13929.74</v>
      </c>
      <c r="T232" s="30">
        <f>1203</f>
        <v>1203</v>
      </c>
      <c r="U232" s="30">
        <f>1</f>
        <v>1</v>
      </c>
      <c r="V232" s="30">
        <f>16796130</f>
        <v>16796130</v>
      </c>
      <c r="W232" s="30">
        <f>13890</f>
        <v>13890</v>
      </c>
      <c r="X232" s="34">
        <f>19</f>
        <v>19</v>
      </c>
    </row>
    <row r="233" spans="1:24" x14ac:dyDescent="0.15">
      <c r="A233" s="25" t="s">
        <v>817</v>
      </c>
      <c r="B233" s="25" t="s">
        <v>732</v>
      </c>
      <c r="C233" s="25" t="s">
        <v>733</v>
      </c>
      <c r="D233" s="25" t="s">
        <v>734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2221</f>
        <v>2221</v>
      </c>
      <c r="L233" s="32" t="s">
        <v>811</v>
      </c>
      <c r="M233" s="31">
        <f>2232</f>
        <v>2232</v>
      </c>
      <c r="N233" s="32" t="s">
        <v>810</v>
      </c>
      <c r="O233" s="31">
        <f>1925</f>
        <v>1925</v>
      </c>
      <c r="P233" s="32" t="s">
        <v>66</v>
      </c>
      <c r="Q233" s="31">
        <f>2092</f>
        <v>2092</v>
      </c>
      <c r="R233" s="32" t="s">
        <v>818</v>
      </c>
      <c r="S233" s="33">
        <f>2114.89</f>
        <v>2114.89</v>
      </c>
      <c r="T233" s="30">
        <f>242307</f>
        <v>242307</v>
      </c>
      <c r="U233" s="30">
        <f>223000</f>
        <v>223000</v>
      </c>
      <c r="V233" s="30">
        <f>475252278</f>
        <v>475252278</v>
      </c>
      <c r="W233" s="30">
        <f>434470900</f>
        <v>434470900</v>
      </c>
      <c r="X233" s="34">
        <f>19</f>
        <v>19</v>
      </c>
    </row>
    <row r="234" spans="1:24" x14ac:dyDescent="0.15">
      <c r="A234" s="25" t="s">
        <v>817</v>
      </c>
      <c r="B234" s="25" t="s">
        <v>735</v>
      </c>
      <c r="C234" s="25" t="s">
        <v>736</v>
      </c>
      <c r="D234" s="25" t="s">
        <v>737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1754</f>
        <v>1754</v>
      </c>
      <c r="L234" s="32" t="s">
        <v>811</v>
      </c>
      <c r="M234" s="31">
        <f>1901.5</f>
        <v>1901.5</v>
      </c>
      <c r="N234" s="32" t="s">
        <v>70</v>
      </c>
      <c r="O234" s="31">
        <f>1687</f>
        <v>1687</v>
      </c>
      <c r="P234" s="32" t="s">
        <v>56</v>
      </c>
      <c r="Q234" s="31">
        <f>1835</f>
        <v>1835</v>
      </c>
      <c r="R234" s="32" t="s">
        <v>818</v>
      </c>
      <c r="S234" s="33">
        <f>1791.82</f>
        <v>1791.82</v>
      </c>
      <c r="T234" s="30">
        <f>3920</f>
        <v>3920</v>
      </c>
      <c r="U234" s="30" t="str">
        <f>"－"</f>
        <v>－</v>
      </c>
      <c r="V234" s="30">
        <f>6977820</f>
        <v>6977820</v>
      </c>
      <c r="W234" s="30" t="str">
        <f>"－"</f>
        <v>－</v>
      </c>
      <c r="X234" s="34">
        <f>19</f>
        <v>19</v>
      </c>
    </row>
    <row r="235" spans="1:24" x14ac:dyDescent="0.15">
      <c r="A235" s="25" t="s">
        <v>817</v>
      </c>
      <c r="B235" s="25" t="s">
        <v>738</v>
      </c>
      <c r="C235" s="25" t="s">
        <v>822</v>
      </c>
      <c r="D235" s="25" t="s">
        <v>823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988.5</f>
        <v>988.5</v>
      </c>
      <c r="L235" s="32" t="s">
        <v>811</v>
      </c>
      <c r="M235" s="31">
        <f>988.5</f>
        <v>988.5</v>
      </c>
      <c r="N235" s="32" t="s">
        <v>811</v>
      </c>
      <c r="O235" s="31">
        <f>969</f>
        <v>969</v>
      </c>
      <c r="P235" s="32" t="s">
        <v>818</v>
      </c>
      <c r="Q235" s="31">
        <f>971.4</f>
        <v>971.4</v>
      </c>
      <c r="R235" s="32" t="s">
        <v>818</v>
      </c>
      <c r="S235" s="33">
        <f>978.36</f>
        <v>978.36</v>
      </c>
      <c r="T235" s="30">
        <f>1783360</f>
        <v>1783360</v>
      </c>
      <c r="U235" s="30">
        <f>1160780</f>
        <v>1160780</v>
      </c>
      <c r="V235" s="30">
        <f>1746631900</f>
        <v>1746631900</v>
      </c>
      <c r="W235" s="30">
        <f>1136495219</f>
        <v>1136495219</v>
      </c>
      <c r="X235" s="34">
        <f>19</f>
        <v>19</v>
      </c>
    </row>
    <row r="236" spans="1:24" x14ac:dyDescent="0.15">
      <c r="A236" s="25" t="s">
        <v>817</v>
      </c>
      <c r="B236" s="25" t="s">
        <v>739</v>
      </c>
      <c r="C236" s="25" t="s">
        <v>740</v>
      </c>
      <c r="D236" s="25" t="s">
        <v>741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2065</f>
        <v>2065</v>
      </c>
      <c r="L236" s="32" t="s">
        <v>811</v>
      </c>
      <c r="M236" s="31">
        <f>2135.5</f>
        <v>2135.5</v>
      </c>
      <c r="N236" s="32" t="s">
        <v>811</v>
      </c>
      <c r="O236" s="31">
        <f>1823.5</f>
        <v>1823.5</v>
      </c>
      <c r="P236" s="32" t="s">
        <v>66</v>
      </c>
      <c r="Q236" s="31">
        <f>1990.5</f>
        <v>1990.5</v>
      </c>
      <c r="R236" s="32" t="s">
        <v>818</v>
      </c>
      <c r="S236" s="33">
        <f>2007.11</f>
        <v>2007.11</v>
      </c>
      <c r="T236" s="30">
        <f>218380</f>
        <v>218380</v>
      </c>
      <c r="U236" s="30">
        <f>160000</f>
        <v>160000</v>
      </c>
      <c r="V236" s="30">
        <f>420145675</f>
        <v>420145675</v>
      </c>
      <c r="W236" s="30">
        <f>307308800</f>
        <v>307308800</v>
      </c>
      <c r="X236" s="34">
        <f>18</f>
        <v>18</v>
      </c>
    </row>
    <row r="237" spans="1:24" x14ac:dyDescent="0.15">
      <c r="A237" s="25" t="s">
        <v>817</v>
      </c>
      <c r="B237" s="25" t="s">
        <v>742</v>
      </c>
      <c r="C237" s="25" t="s">
        <v>743</v>
      </c>
      <c r="D237" s="25" t="s">
        <v>744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2137.5</f>
        <v>2137.5</v>
      </c>
      <c r="L237" s="32" t="s">
        <v>811</v>
      </c>
      <c r="M237" s="31">
        <f>2137.5</f>
        <v>2137.5</v>
      </c>
      <c r="N237" s="32" t="s">
        <v>811</v>
      </c>
      <c r="O237" s="31">
        <f>1820</f>
        <v>1820</v>
      </c>
      <c r="P237" s="32" t="s">
        <v>66</v>
      </c>
      <c r="Q237" s="31">
        <f>1995</f>
        <v>1995</v>
      </c>
      <c r="R237" s="32" t="s">
        <v>818</v>
      </c>
      <c r="S237" s="33">
        <f>2002.79</f>
        <v>2002.79</v>
      </c>
      <c r="T237" s="30">
        <f>1084710</f>
        <v>1084710</v>
      </c>
      <c r="U237" s="30">
        <f>465010</f>
        <v>465010</v>
      </c>
      <c r="V237" s="30">
        <f>2142974505</f>
        <v>2142974505</v>
      </c>
      <c r="W237" s="30">
        <f>916012465</f>
        <v>916012465</v>
      </c>
      <c r="X237" s="34">
        <f>19</f>
        <v>19</v>
      </c>
    </row>
    <row r="238" spans="1:24" x14ac:dyDescent="0.15">
      <c r="A238" s="25" t="s">
        <v>817</v>
      </c>
      <c r="B238" s="25" t="s">
        <v>745</v>
      </c>
      <c r="C238" s="25" t="s">
        <v>746</v>
      </c>
      <c r="D238" s="25" t="s">
        <v>747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2052</f>
        <v>2052</v>
      </c>
      <c r="L238" s="32" t="s">
        <v>810</v>
      </c>
      <c r="M238" s="31">
        <f>2053.5</f>
        <v>2053.5</v>
      </c>
      <c r="N238" s="32" t="s">
        <v>810</v>
      </c>
      <c r="O238" s="31">
        <f>1906.5</f>
        <v>1906.5</v>
      </c>
      <c r="P238" s="32" t="s">
        <v>818</v>
      </c>
      <c r="Q238" s="31">
        <f>1906.5</f>
        <v>1906.5</v>
      </c>
      <c r="R238" s="32" t="s">
        <v>818</v>
      </c>
      <c r="S238" s="33">
        <f>1980.85</f>
        <v>1980.85</v>
      </c>
      <c r="T238" s="30">
        <f>2570</f>
        <v>2570</v>
      </c>
      <c r="U238" s="30" t="str">
        <f>"－"</f>
        <v>－</v>
      </c>
      <c r="V238" s="30">
        <f>5065265</f>
        <v>5065265</v>
      </c>
      <c r="W238" s="30" t="str">
        <f>"－"</f>
        <v>－</v>
      </c>
      <c r="X238" s="34">
        <f>10</f>
        <v>10</v>
      </c>
    </row>
    <row r="239" spans="1:24" x14ac:dyDescent="0.15">
      <c r="A239" s="25" t="s">
        <v>817</v>
      </c>
      <c r="B239" s="25" t="s">
        <v>748</v>
      </c>
      <c r="C239" s="25" t="s">
        <v>749</v>
      </c>
      <c r="D239" s="25" t="s">
        <v>750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15830</f>
        <v>15830</v>
      </c>
      <c r="L239" s="32" t="s">
        <v>811</v>
      </c>
      <c r="M239" s="31">
        <f>15945</f>
        <v>15945</v>
      </c>
      <c r="N239" s="32" t="s">
        <v>811</v>
      </c>
      <c r="O239" s="31">
        <f>14050</f>
        <v>14050</v>
      </c>
      <c r="P239" s="32" t="s">
        <v>266</v>
      </c>
      <c r="Q239" s="31">
        <f>14720</f>
        <v>14720</v>
      </c>
      <c r="R239" s="32" t="s">
        <v>818</v>
      </c>
      <c r="S239" s="33">
        <f>15056.05</f>
        <v>15056.05</v>
      </c>
      <c r="T239" s="30">
        <f>1051366</f>
        <v>1051366</v>
      </c>
      <c r="U239" s="30">
        <f>64402</f>
        <v>64402</v>
      </c>
      <c r="V239" s="30">
        <f>15828771287</f>
        <v>15828771287</v>
      </c>
      <c r="W239" s="30">
        <f>1000234292</f>
        <v>1000234292</v>
      </c>
      <c r="X239" s="34">
        <f>19</f>
        <v>19</v>
      </c>
    </row>
    <row r="240" spans="1:24" x14ac:dyDescent="0.15">
      <c r="A240" s="25" t="s">
        <v>817</v>
      </c>
      <c r="B240" s="25" t="s">
        <v>751</v>
      </c>
      <c r="C240" s="25" t="s">
        <v>752</v>
      </c>
      <c r="D240" s="25" t="s">
        <v>753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14295</f>
        <v>14295</v>
      </c>
      <c r="L240" s="32" t="s">
        <v>811</v>
      </c>
      <c r="M240" s="31">
        <f>14420</f>
        <v>14420</v>
      </c>
      <c r="N240" s="32" t="s">
        <v>811</v>
      </c>
      <c r="O240" s="31">
        <f>12980</f>
        <v>12980</v>
      </c>
      <c r="P240" s="32" t="s">
        <v>266</v>
      </c>
      <c r="Q240" s="31">
        <f>13540</f>
        <v>13540</v>
      </c>
      <c r="R240" s="32" t="s">
        <v>818</v>
      </c>
      <c r="S240" s="33">
        <f>13787.63</f>
        <v>13787.63</v>
      </c>
      <c r="T240" s="30">
        <f>243158</f>
        <v>243158</v>
      </c>
      <c r="U240" s="30" t="str">
        <f>"－"</f>
        <v>－</v>
      </c>
      <c r="V240" s="30">
        <f>3341629835</f>
        <v>3341629835</v>
      </c>
      <c r="W240" s="30" t="str">
        <f>"－"</f>
        <v>－</v>
      </c>
      <c r="X240" s="34">
        <f>19</f>
        <v>19</v>
      </c>
    </row>
    <row r="241" spans="1:24" x14ac:dyDescent="0.15">
      <c r="A241" s="25" t="s">
        <v>817</v>
      </c>
      <c r="B241" s="25" t="s">
        <v>754</v>
      </c>
      <c r="C241" s="25" t="s">
        <v>755</v>
      </c>
      <c r="D241" s="25" t="s">
        <v>756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26875</f>
        <v>26875</v>
      </c>
      <c r="L241" s="32" t="s">
        <v>811</v>
      </c>
      <c r="M241" s="31">
        <f>27195</f>
        <v>27195</v>
      </c>
      <c r="N241" s="32" t="s">
        <v>810</v>
      </c>
      <c r="O241" s="31">
        <f>24500</f>
        <v>24500</v>
      </c>
      <c r="P241" s="32" t="s">
        <v>266</v>
      </c>
      <c r="Q241" s="31">
        <f>25300</f>
        <v>25300</v>
      </c>
      <c r="R241" s="32" t="s">
        <v>818</v>
      </c>
      <c r="S241" s="33">
        <f>26175.94</f>
        <v>26175.94</v>
      </c>
      <c r="T241" s="30">
        <f>120</f>
        <v>120</v>
      </c>
      <c r="U241" s="30" t="str">
        <f>"－"</f>
        <v>－</v>
      </c>
      <c r="V241" s="30">
        <f>3134600</f>
        <v>3134600</v>
      </c>
      <c r="W241" s="30" t="str">
        <f>"－"</f>
        <v>－</v>
      </c>
      <c r="X241" s="34">
        <f>16</f>
        <v>16</v>
      </c>
    </row>
    <row r="242" spans="1:24" x14ac:dyDescent="0.15">
      <c r="A242" s="25" t="s">
        <v>817</v>
      </c>
      <c r="B242" s="25" t="s">
        <v>757</v>
      </c>
      <c r="C242" s="25" t="s">
        <v>758</v>
      </c>
      <c r="D242" s="25" t="s">
        <v>759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2710</f>
        <v>2710</v>
      </c>
      <c r="L242" s="32" t="s">
        <v>811</v>
      </c>
      <c r="M242" s="31">
        <f>2710</f>
        <v>2710</v>
      </c>
      <c r="N242" s="32" t="s">
        <v>811</v>
      </c>
      <c r="O242" s="31">
        <f>2671</f>
        <v>2671</v>
      </c>
      <c r="P242" s="32" t="s">
        <v>818</v>
      </c>
      <c r="Q242" s="31">
        <f>2676</f>
        <v>2676</v>
      </c>
      <c r="R242" s="32" t="s">
        <v>818</v>
      </c>
      <c r="S242" s="33">
        <f>2689.05</f>
        <v>2689.05</v>
      </c>
      <c r="T242" s="30">
        <f>1719352</f>
        <v>1719352</v>
      </c>
      <c r="U242" s="30">
        <f>986133</f>
        <v>986133</v>
      </c>
      <c r="V242" s="30">
        <f>4623565556</f>
        <v>4623565556</v>
      </c>
      <c r="W242" s="30">
        <f>2652188122</f>
        <v>2652188122</v>
      </c>
      <c r="X242" s="34">
        <f>19</f>
        <v>19</v>
      </c>
    </row>
    <row r="243" spans="1:24" x14ac:dyDescent="0.15">
      <c r="A243" s="25" t="s">
        <v>817</v>
      </c>
      <c r="B243" s="25" t="s">
        <v>760</v>
      </c>
      <c r="C243" s="25" t="s">
        <v>761</v>
      </c>
      <c r="D243" s="25" t="s">
        <v>762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3165</f>
        <v>3165</v>
      </c>
      <c r="L243" s="32" t="s">
        <v>811</v>
      </c>
      <c r="M243" s="31">
        <f>3196</f>
        <v>3196</v>
      </c>
      <c r="N243" s="32" t="s">
        <v>810</v>
      </c>
      <c r="O243" s="31">
        <f>2907</f>
        <v>2907</v>
      </c>
      <c r="P243" s="32" t="s">
        <v>266</v>
      </c>
      <c r="Q243" s="31">
        <f>3005</f>
        <v>3005</v>
      </c>
      <c r="R243" s="32" t="s">
        <v>818</v>
      </c>
      <c r="S243" s="33">
        <f>3062.74</f>
        <v>3062.74</v>
      </c>
      <c r="T243" s="30">
        <f>5343480</f>
        <v>5343480</v>
      </c>
      <c r="U243" s="30">
        <f>3317610</f>
        <v>3317610</v>
      </c>
      <c r="V243" s="30">
        <f>16551543358</f>
        <v>16551543358</v>
      </c>
      <c r="W243" s="30">
        <f>10261533158</f>
        <v>10261533158</v>
      </c>
      <c r="X243" s="34">
        <f>19</f>
        <v>19</v>
      </c>
    </row>
    <row r="244" spans="1:24" x14ac:dyDescent="0.15">
      <c r="A244" s="25" t="s">
        <v>817</v>
      </c>
      <c r="B244" s="25" t="s">
        <v>763</v>
      </c>
      <c r="C244" s="25" t="s">
        <v>764</v>
      </c>
      <c r="D244" s="25" t="s">
        <v>765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3125</f>
        <v>3125</v>
      </c>
      <c r="L244" s="32" t="s">
        <v>811</v>
      </c>
      <c r="M244" s="31">
        <f>3135</f>
        <v>3135</v>
      </c>
      <c r="N244" s="32" t="s">
        <v>811</v>
      </c>
      <c r="O244" s="31">
        <f>2788</f>
        <v>2788</v>
      </c>
      <c r="P244" s="32" t="s">
        <v>266</v>
      </c>
      <c r="Q244" s="31">
        <f>2897</f>
        <v>2897</v>
      </c>
      <c r="R244" s="32" t="s">
        <v>818</v>
      </c>
      <c r="S244" s="33">
        <f>2979.89</f>
        <v>2979.89</v>
      </c>
      <c r="T244" s="30">
        <f>6619237</f>
        <v>6619237</v>
      </c>
      <c r="U244" s="30">
        <f>1616000</f>
        <v>1616000</v>
      </c>
      <c r="V244" s="30">
        <f>19485365877</f>
        <v>19485365877</v>
      </c>
      <c r="W244" s="30">
        <f>4632925438</f>
        <v>4632925438</v>
      </c>
      <c r="X244" s="34">
        <f>19</f>
        <v>19</v>
      </c>
    </row>
    <row r="245" spans="1:24" x14ac:dyDescent="0.15">
      <c r="A245" s="25" t="s">
        <v>817</v>
      </c>
      <c r="B245" s="25" t="s">
        <v>766</v>
      </c>
      <c r="C245" s="25" t="s">
        <v>767</v>
      </c>
      <c r="D245" s="25" t="s">
        <v>768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1918</f>
        <v>1918</v>
      </c>
      <c r="L245" s="32" t="s">
        <v>811</v>
      </c>
      <c r="M245" s="31">
        <f>1966</f>
        <v>1966</v>
      </c>
      <c r="N245" s="32" t="s">
        <v>819</v>
      </c>
      <c r="O245" s="31">
        <f>1859</f>
        <v>1859</v>
      </c>
      <c r="P245" s="32" t="s">
        <v>266</v>
      </c>
      <c r="Q245" s="31">
        <f>1894</f>
        <v>1894</v>
      </c>
      <c r="R245" s="32" t="s">
        <v>818</v>
      </c>
      <c r="S245" s="33">
        <f>1916.58</f>
        <v>1916.58</v>
      </c>
      <c r="T245" s="30">
        <f>138024</f>
        <v>138024</v>
      </c>
      <c r="U245" s="30">
        <f>25708</f>
        <v>25708</v>
      </c>
      <c r="V245" s="30">
        <f>266210063</f>
        <v>266210063</v>
      </c>
      <c r="W245" s="30">
        <f>49986008</f>
        <v>49986008</v>
      </c>
      <c r="X245" s="34">
        <f>19</f>
        <v>19</v>
      </c>
    </row>
    <row r="246" spans="1:24" x14ac:dyDescent="0.15">
      <c r="A246" s="25" t="s">
        <v>817</v>
      </c>
      <c r="B246" s="25" t="s">
        <v>769</v>
      </c>
      <c r="C246" s="25" t="s">
        <v>770</v>
      </c>
      <c r="D246" s="25" t="s">
        <v>771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</v>
      </c>
      <c r="K246" s="31">
        <f>1290</f>
        <v>1290</v>
      </c>
      <c r="L246" s="32" t="s">
        <v>811</v>
      </c>
      <c r="M246" s="31">
        <f>1290</f>
        <v>1290</v>
      </c>
      <c r="N246" s="32" t="s">
        <v>811</v>
      </c>
      <c r="O246" s="31">
        <f>1055</f>
        <v>1055</v>
      </c>
      <c r="P246" s="32" t="s">
        <v>66</v>
      </c>
      <c r="Q246" s="31">
        <f>1157</f>
        <v>1157</v>
      </c>
      <c r="R246" s="32" t="s">
        <v>818</v>
      </c>
      <c r="S246" s="33">
        <f>1169.53</f>
        <v>1169.53</v>
      </c>
      <c r="T246" s="30">
        <f>701295</f>
        <v>701295</v>
      </c>
      <c r="U246" s="30">
        <f>256000</f>
        <v>256000</v>
      </c>
      <c r="V246" s="30">
        <f>806782175</f>
        <v>806782175</v>
      </c>
      <c r="W246" s="30">
        <f>287078400</f>
        <v>287078400</v>
      </c>
      <c r="X246" s="34">
        <f>19</f>
        <v>19</v>
      </c>
    </row>
    <row r="247" spans="1:24" x14ac:dyDescent="0.15">
      <c r="A247" s="25" t="s">
        <v>817</v>
      </c>
      <c r="B247" s="25" t="s">
        <v>772</v>
      </c>
      <c r="C247" s="25" t="s">
        <v>773</v>
      </c>
      <c r="D247" s="25" t="s">
        <v>774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1142.5</f>
        <v>1142.5</v>
      </c>
      <c r="L247" s="32" t="s">
        <v>811</v>
      </c>
      <c r="M247" s="31">
        <f>1183</f>
        <v>1183</v>
      </c>
      <c r="N247" s="32" t="s">
        <v>810</v>
      </c>
      <c r="O247" s="31">
        <f>1010.5</f>
        <v>1010.5</v>
      </c>
      <c r="P247" s="32" t="s">
        <v>66</v>
      </c>
      <c r="Q247" s="31">
        <f>1101.5</f>
        <v>1101.5</v>
      </c>
      <c r="R247" s="32" t="s">
        <v>818</v>
      </c>
      <c r="S247" s="33">
        <f>1109.79</f>
        <v>1109.79</v>
      </c>
      <c r="T247" s="30">
        <f>403220</f>
        <v>403220</v>
      </c>
      <c r="U247" s="30">
        <f>278000</f>
        <v>278000</v>
      </c>
      <c r="V247" s="30">
        <f>457385565</f>
        <v>457385565</v>
      </c>
      <c r="W247" s="30">
        <f>323418400</f>
        <v>323418400</v>
      </c>
      <c r="X247" s="34">
        <f>19</f>
        <v>19</v>
      </c>
    </row>
    <row r="248" spans="1:24" x14ac:dyDescent="0.15">
      <c r="A248" s="25" t="s">
        <v>817</v>
      </c>
      <c r="B248" s="25" t="s">
        <v>775</v>
      </c>
      <c r="C248" s="25" t="s">
        <v>776</v>
      </c>
      <c r="D248" s="25" t="s">
        <v>777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255</f>
        <v>255</v>
      </c>
      <c r="L248" s="32" t="s">
        <v>811</v>
      </c>
      <c r="M248" s="31">
        <f>259.7</f>
        <v>259.7</v>
      </c>
      <c r="N248" s="32" t="s">
        <v>811</v>
      </c>
      <c r="O248" s="31">
        <f>235</f>
        <v>235</v>
      </c>
      <c r="P248" s="32" t="s">
        <v>815</v>
      </c>
      <c r="Q248" s="31">
        <f>238.1</f>
        <v>238.1</v>
      </c>
      <c r="R248" s="32" t="s">
        <v>818</v>
      </c>
      <c r="S248" s="33">
        <f>250.12</f>
        <v>250.12</v>
      </c>
      <c r="T248" s="30">
        <f>41160</f>
        <v>41160</v>
      </c>
      <c r="U248" s="30" t="str">
        <f>"－"</f>
        <v>－</v>
      </c>
      <c r="V248" s="30">
        <f>10038180</f>
        <v>10038180</v>
      </c>
      <c r="W248" s="30" t="str">
        <f>"－"</f>
        <v>－</v>
      </c>
      <c r="X248" s="34">
        <f>19</f>
        <v>19</v>
      </c>
    </row>
    <row r="249" spans="1:24" x14ac:dyDescent="0.15">
      <c r="A249" s="25" t="s">
        <v>817</v>
      </c>
      <c r="B249" s="25" t="s">
        <v>778</v>
      </c>
      <c r="C249" s="25" t="s">
        <v>779</v>
      </c>
      <c r="D249" s="25" t="s">
        <v>780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3277</f>
        <v>3277</v>
      </c>
      <c r="L249" s="32" t="s">
        <v>811</v>
      </c>
      <c r="M249" s="31">
        <f>3299</f>
        <v>3299</v>
      </c>
      <c r="N249" s="32" t="s">
        <v>811</v>
      </c>
      <c r="O249" s="31">
        <f>2736.5</f>
        <v>2736.5</v>
      </c>
      <c r="P249" s="32" t="s">
        <v>266</v>
      </c>
      <c r="Q249" s="31">
        <f>2882</f>
        <v>2882</v>
      </c>
      <c r="R249" s="32" t="s">
        <v>818</v>
      </c>
      <c r="S249" s="33">
        <f>3004.03</f>
        <v>3004.03</v>
      </c>
      <c r="T249" s="30">
        <f>2933320</f>
        <v>2933320</v>
      </c>
      <c r="U249" s="30">
        <f>140100</f>
        <v>140100</v>
      </c>
      <c r="V249" s="30">
        <f>8648962642</f>
        <v>8648962642</v>
      </c>
      <c r="W249" s="30">
        <f>416957872</f>
        <v>416957872</v>
      </c>
      <c r="X249" s="34">
        <f>19</f>
        <v>19</v>
      </c>
    </row>
    <row r="250" spans="1:24" x14ac:dyDescent="0.15">
      <c r="A250" s="25" t="s">
        <v>817</v>
      </c>
      <c r="B250" s="25" t="s">
        <v>781</v>
      </c>
      <c r="C250" s="25" t="s">
        <v>782</v>
      </c>
      <c r="D250" s="25" t="s">
        <v>783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2964</f>
        <v>2964</v>
      </c>
      <c r="L250" s="32" t="s">
        <v>811</v>
      </c>
      <c r="M250" s="31">
        <f>2980</f>
        <v>2980</v>
      </c>
      <c r="N250" s="32" t="s">
        <v>810</v>
      </c>
      <c r="O250" s="31">
        <f>2495</f>
        <v>2495</v>
      </c>
      <c r="P250" s="32" t="s">
        <v>266</v>
      </c>
      <c r="Q250" s="31">
        <f>2604.5</f>
        <v>2604.5</v>
      </c>
      <c r="R250" s="32" t="s">
        <v>818</v>
      </c>
      <c r="S250" s="33">
        <f>2734.05</f>
        <v>2734.05</v>
      </c>
      <c r="T250" s="30">
        <f>7356290</f>
        <v>7356290</v>
      </c>
      <c r="U250" s="30">
        <f>2311300</f>
        <v>2311300</v>
      </c>
      <c r="V250" s="30">
        <f>19773951184</f>
        <v>19773951184</v>
      </c>
      <c r="W250" s="30">
        <f>6436172859</f>
        <v>6436172859</v>
      </c>
      <c r="X250" s="34">
        <f>19</f>
        <v>19</v>
      </c>
    </row>
    <row r="251" spans="1:24" x14ac:dyDescent="0.15">
      <c r="A251" s="25" t="s">
        <v>817</v>
      </c>
      <c r="B251" s="25" t="s">
        <v>784</v>
      </c>
      <c r="C251" s="25" t="s">
        <v>785</v>
      </c>
      <c r="D251" s="25" t="s">
        <v>786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2687</f>
        <v>2687</v>
      </c>
      <c r="L251" s="32" t="s">
        <v>811</v>
      </c>
      <c r="M251" s="31">
        <f>2713</f>
        <v>2713</v>
      </c>
      <c r="N251" s="32" t="s">
        <v>810</v>
      </c>
      <c r="O251" s="31">
        <f>2633</f>
        <v>2633</v>
      </c>
      <c r="P251" s="32" t="s">
        <v>66</v>
      </c>
      <c r="Q251" s="31">
        <f>2668</f>
        <v>2668</v>
      </c>
      <c r="R251" s="32" t="s">
        <v>818</v>
      </c>
      <c r="S251" s="33">
        <f>2661.68</f>
        <v>2661.68</v>
      </c>
      <c r="T251" s="30">
        <f>1654443</f>
        <v>1654443</v>
      </c>
      <c r="U251" s="30">
        <f>1154010</f>
        <v>1154010</v>
      </c>
      <c r="V251" s="30">
        <f>4404352834</f>
        <v>4404352834</v>
      </c>
      <c r="W251" s="30">
        <f>3071102988</f>
        <v>3071102988</v>
      </c>
      <c r="X251" s="34">
        <f>19</f>
        <v>19</v>
      </c>
    </row>
    <row r="252" spans="1:24" x14ac:dyDescent="0.15">
      <c r="A252" s="25" t="s">
        <v>817</v>
      </c>
      <c r="B252" s="25" t="s">
        <v>787</v>
      </c>
      <c r="C252" s="25" t="s">
        <v>788</v>
      </c>
      <c r="D252" s="25" t="s">
        <v>789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2224</f>
        <v>2224</v>
      </c>
      <c r="L252" s="32" t="s">
        <v>811</v>
      </c>
      <c r="M252" s="31">
        <f>2271</f>
        <v>2271</v>
      </c>
      <c r="N252" s="32" t="s">
        <v>811</v>
      </c>
      <c r="O252" s="31">
        <f>2129</f>
        <v>2129</v>
      </c>
      <c r="P252" s="32" t="s">
        <v>816</v>
      </c>
      <c r="Q252" s="31">
        <f>2179</f>
        <v>2179</v>
      </c>
      <c r="R252" s="32" t="s">
        <v>818</v>
      </c>
      <c r="S252" s="33">
        <f>2177.32</f>
        <v>2177.3200000000002</v>
      </c>
      <c r="T252" s="30">
        <f>1409096</f>
        <v>1409096</v>
      </c>
      <c r="U252" s="30">
        <f>820000</f>
        <v>820000</v>
      </c>
      <c r="V252" s="30">
        <f>3060673498</f>
        <v>3060673498</v>
      </c>
      <c r="W252" s="30">
        <f>1782254000</f>
        <v>1782254000</v>
      </c>
      <c r="X252" s="34">
        <f>19</f>
        <v>19</v>
      </c>
    </row>
    <row r="253" spans="1:24" x14ac:dyDescent="0.15">
      <c r="A253" s="25" t="s">
        <v>817</v>
      </c>
      <c r="B253" s="25" t="s">
        <v>790</v>
      </c>
      <c r="C253" s="25" t="s">
        <v>791</v>
      </c>
      <c r="D253" s="25" t="s">
        <v>792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2457</f>
        <v>2457</v>
      </c>
      <c r="L253" s="32" t="s">
        <v>811</v>
      </c>
      <c r="M253" s="31">
        <f>2457</f>
        <v>2457</v>
      </c>
      <c r="N253" s="32" t="s">
        <v>811</v>
      </c>
      <c r="O253" s="31">
        <f>2325</f>
        <v>2325</v>
      </c>
      <c r="P253" s="32" t="s">
        <v>66</v>
      </c>
      <c r="Q253" s="31">
        <f>2351</f>
        <v>2351</v>
      </c>
      <c r="R253" s="32" t="s">
        <v>818</v>
      </c>
      <c r="S253" s="33">
        <f>2376.63</f>
        <v>2376.63</v>
      </c>
      <c r="T253" s="30">
        <f>52948</f>
        <v>52948</v>
      </c>
      <c r="U253" s="30" t="str">
        <f>"－"</f>
        <v>－</v>
      </c>
      <c r="V253" s="30">
        <f>125349953</f>
        <v>125349953</v>
      </c>
      <c r="W253" s="30" t="str">
        <f>"－"</f>
        <v>－</v>
      </c>
      <c r="X253" s="34">
        <f>19</f>
        <v>19</v>
      </c>
    </row>
    <row r="254" spans="1:24" x14ac:dyDescent="0.15">
      <c r="A254" s="25" t="s">
        <v>817</v>
      </c>
      <c r="B254" s="25" t="s">
        <v>793</v>
      </c>
      <c r="C254" s="25" t="s">
        <v>794</v>
      </c>
      <c r="D254" s="25" t="s">
        <v>795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2492</f>
        <v>2492</v>
      </c>
      <c r="L254" s="32" t="s">
        <v>811</v>
      </c>
      <c r="M254" s="31">
        <f>2496</f>
        <v>2496</v>
      </c>
      <c r="N254" s="32" t="s">
        <v>80</v>
      </c>
      <c r="O254" s="31">
        <f>2466</f>
        <v>2466</v>
      </c>
      <c r="P254" s="32" t="s">
        <v>818</v>
      </c>
      <c r="Q254" s="31">
        <f>2466</f>
        <v>2466</v>
      </c>
      <c r="R254" s="32" t="s">
        <v>818</v>
      </c>
      <c r="S254" s="33">
        <f>2477.44</f>
        <v>2477.44</v>
      </c>
      <c r="T254" s="30">
        <f>535</f>
        <v>535</v>
      </c>
      <c r="U254" s="30" t="str">
        <f>"－"</f>
        <v>－</v>
      </c>
      <c r="V254" s="30">
        <f>1329836</f>
        <v>1329836</v>
      </c>
      <c r="W254" s="30" t="str">
        <f>"－"</f>
        <v>－</v>
      </c>
      <c r="X254" s="34">
        <f>18</f>
        <v>18</v>
      </c>
    </row>
    <row r="255" spans="1:24" x14ac:dyDescent="0.15">
      <c r="A255" s="25" t="s">
        <v>817</v>
      </c>
      <c r="B255" s="25" t="s">
        <v>796</v>
      </c>
      <c r="C255" s="25" t="s">
        <v>797</v>
      </c>
      <c r="D255" s="25" t="s">
        <v>798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2913</f>
        <v>2913</v>
      </c>
      <c r="L255" s="32" t="s">
        <v>811</v>
      </c>
      <c r="M255" s="31">
        <f>2943</f>
        <v>2943</v>
      </c>
      <c r="N255" s="32" t="s">
        <v>810</v>
      </c>
      <c r="O255" s="31">
        <f>2605</f>
        <v>2605</v>
      </c>
      <c r="P255" s="32" t="s">
        <v>266</v>
      </c>
      <c r="Q255" s="31">
        <f>2702</f>
        <v>2702</v>
      </c>
      <c r="R255" s="32" t="s">
        <v>818</v>
      </c>
      <c r="S255" s="33">
        <f>2790.74</f>
        <v>2790.74</v>
      </c>
      <c r="T255" s="30">
        <f>649772</f>
        <v>649772</v>
      </c>
      <c r="U255" s="30">
        <f>2</f>
        <v>2</v>
      </c>
      <c r="V255" s="30">
        <f>1812937235</f>
        <v>1812937235</v>
      </c>
      <c r="W255" s="30">
        <f>5383</f>
        <v>5383</v>
      </c>
      <c r="X255" s="34">
        <f>19</f>
        <v>19</v>
      </c>
    </row>
    <row r="256" spans="1:24" x14ac:dyDescent="0.15">
      <c r="A256" s="25" t="s">
        <v>817</v>
      </c>
      <c r="B256" s="25" t="s">
        <v>799</v>
      </c>
      <c r="C256" s="25" t="s">
        <v>800</v>
      </c>
      <c r="D256" s="25" t="s">
        <v>801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2021</f>
        <v>2021</v>
      </c>
      <c r="L256" s="32" t="s">
        <v>811</v>
      </c>
      <c r="M256" s="31">
        <f>2045</f>
        <v>2045</v>
      </c>
      <c r="N256" s="32" t="s">
        <v>810</v>
      </c>
      <c r="O256" s="31">
        <f>1834</f>
        <v>1834</v>
      </c>
      <c r="P256" s="32" t="s">
        <v>266</v>
      </c>
      <c r="Q256" s="31">
        <f>1900</f>
        <v>1900</v>
      </c>
      <c r="R256" s="32" t="s">
        <v>818</v>
      </c>
      <c r="S256" s="33">
        <f>1954.53</f>
        <v>1954.53</v>
      </c>
      <c r="T256" s="30">
        <f>262713</f>
        <v>262713</v>
      </c>
      <c r="U256" s="30" t="str">
        <f>"－"</f>
        <v>－</v>
      </c>
      <c r="V256" s="30">
        <f>501025838</f>
        <v>501025838</v>
      </c>
      <c r="W256" s="30" t="str">
        <f>"－"</f>
        <v>－</v>
      </c>
      <c r="X256" s="34">
        <f>19</f>
        <v>19</v>
      </c>
    </row>
    <row r="257" spans="1:24" x14ac:dyDescent="0.15">
      <c r="A257" s="25" t="s">
        <v>817</v>
      </c>
      <c r="B257" s="25" t="s">
        <v>802</v>
      </c>
      <c r="C257" s="25" t="s">
        <v>803</v>
      </c>
      <c r="D257" s="25" t="s">
        <v>804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2036</f>
        <v>2036</v>
      </c>
      <c r="L257" s="32" t="s">
        <v>811</v>
      </c>
      <c r="M257" s="31">
        <f>2048</f>
        <v>2048</v>
      </c>
      <c r="N257" s="32" t="s">
        <v>811</v>
      </c>
      <c r="O257" s="31">
        <f>1736</f>
        <v>1736</v>
      </c>
      <c r="P257" s="32" t="s">
        <v>266</v>
      </c>
      <c r="Q257" s="31">
        <f>1804</f>
        <v>1804</v>
      </c>
      <c r="R257" s="32" t="s">
        <v>818</v>
      </c>
      <c r="S257" s="33">
        <f>1881.68</f>
        <v>1881.68</v>
      </c>
      <c r="T257" s="30">
        <f>66424</f>
        <v>66424</v>
      </c>
      <c r="U257" s="30" t="str">
        <f>"－"</f>
        <v>－</v>
      </c>
      <c r="V257" s="30">
        <f>124060168</f>
        <v>124060168</v>
      </c>
      <c r="W257" s="30" t="str">
        <f>"－"</f>
        <v>－</v>
      </c>
      <c r="X257" s="34">
        <f>19</f>
        <v>19</v>
      </c>
    </row>
    <row r="258" spans="1:24" x14ac:dyDescent="0.15">
      <c r="A258" s="25" t="s">
        <v>817</v>
      </c>
      <c r="B258" s="25" t="s">
        <v>805</v>
      </c>
      <c r="C258" s="25" t="s">
        <v>806</v>
      </c>
      <c r="D258" s="25" t="s">
        <v>807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2088</f>
        <v>2088</v>
      </c>
      <c r="L258" s="32" t="s">
        <v>811</v>
      </c>
      <c r="M258" s="31">
        <f>2088</f>
        <v>2088</v>
      </c>
      <c r="N258" s="32" t="s">
        <v>811</v>
      </c>
      <c r="O258" s="31">
        <f>1592</f>
        <v>1592</v>
      </c>
      <c r="P258" s="32" t="s">
        <v>94</v>
      </c>
      <c r="Q258" s="31">
        <f>1676</f>
        <v>1676</v>
      </c>
      <c r="R258" s="32" t="s">
        <v>818</v>
      </c>
      <c r="S258" s="33">
        <f>1816.63</f>
        <v>1816.63</v>
      </c>
      <c r="T258" s="30">
        <f>69266</f>
        <v>69266</v>
      </c>
      <c r="U258" s="30" t="str">
        <f>"－"</f>
        <v>－</v>
      </c>
      <c r="V258" s="30">
        <f>126572315</f>
        <v>126572315</v>
      </c>
      <c r="W258" s="30" t="str">
        <f>"－"</f>
        <v>－</v>
      </c>
      <c r="X258" s="34">
        <f>19</f>
        <v>19</v>
      </c>
    </row>
    <row r="259" spans="1:24" x14ac:dyDescent="0.15">
      <c r="A259" s="25" t="s">
        <v>817</v>
      </c>
      <c r="B259" s="25" t="s">
        <v>824</v>
      </c>
      <c r="C259" s="25" t="s">
        <v>825</v>
      </c>
      <c r="D259" s="25" t="s">
        <v>826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2560</f>
        <v>2560</v>
      </c>
      <c r="L259" s="32" t="s">
        <v>811</v>
      </c>
      <c r="M259" s="31">
        <f>2581</f>
        <v>2581</v>
      </c>
      <c r="N259" s="32" t="s">
        <v>811</v>
      </c>
      <c r="O259" s="31">
        <f>2280</f>
        <v>2280</v>
      </c>
      <c r="P259" s="32" t="s">
        <v>818</v>
      </c>
      <c r="Q259" s="31">
        <f>2280</f>
        <v>2280</v>
      </c>
      <c r="R259" s="32" t="s">
        <v>818</v>
      </c>
      <c r="S259" s="33">
        <f>2401.21</f>
        <v>2401.21</v>
      </c>
      <c r="T259" s="30">
        <f>15282</f>
        <v>15282</v>
      </c>
      <c r="U259" s="30">
        <f>4</f>
        <v>4</v>
      </c>
      <c r="V259" s="30">
        <f>36793435</f>
        <v>36793435</v>
      </c>
      <c r="W259" s="30">
        <f>8540</f>
        <v>8540</v>
      </c>
      <c r="X259" s="34">
        <f>19</f>
        <v>19</v>
      </c>
    </row>
    <row r="260" spans="1:24" x14ac:dyDescent="0.15">
      <c r="A260" s="25" t="s">
        <v>817</v>
      </c>
      <c r="B260" s="25" t="s">
        <v>827</v>
      </c>
      <c r="C260" s="25" t="s">
        <v>828</v>
      </c>
      <c r="D260" s="25" t="s">
        <v>829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2791</f>
        <v>2791</v>
      </c>
      <c r="L260" s="32" t="s">
        <v>811</v>
      </c>
      <c r="M260" s="31">
        <f>2830</f>
        <v>2830</v>
      </c>
      <c r="N260" s="32" t="s">
        <v>811</v>
      </c>
      <c r="O260" s="31">
        <f>2639</f>
        <v>2639</v>
      </c>
      <c r="P260" s="32" t="s">
        <v>818</v>
      </c>
      <c r="Q260" s="31">
        <f>2642</f>
        <v>2642</v>
      </c>
      <c r="R260" s="32" t="s">
        <v>818</v>
      </c>
      <c r="S260" s="33">
        <f>2727.95</f>
        <v>2727.95</v>
      </c>
      <c r="T260" s="30">
        <f>9701</f>
        <v>9701</v>
      </c>
      <c r="U260" s="30" t="str">
        <f>"－"</f>
        <v>－</v>
      </c>
      <c r="V260" s="30">
        <f>26490865</f>
        <v>26490865</v>
      </c>
      <c r="W260" s="30" t="str">
        <f>"－"</f>
        <v>－</v>
      </c>
      <c r="X260" s="34">
        <f>19</f>
        <v>19</v>
      </c>
    </row>
    <row r="261" spans="1:24" x14ac:dyDescent="0.15">
      <c r="A261" s="25" t="s">
        <v>817</v>
      </c>
      <c r="B261" s="25" t="s">
        <v>830</v>
      </c>
      <c r="C261" s="25" t="s">
        <v>831</v>
      </c>
      <c r="D261" s="25" t="s">
        <v>832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12385</f>
        <v>12385</v>
      </c>
      <c r="L261" s="32" t="s">
        <v>811</v>
      </c>
      <c r="M261" s="31">
        <f>12420</f>
        <v>12420</v>
      </c>
      <c r="N261" s="32" t="s">
        <v>811</v>
      </c>
      <c r="O261" s="31">
        <f>11050</f>
        <v>11050</v>
      </c>
      <c r="P261" s="32" t="s">
        <v>266</v>
      </c>
      <c r="Q261" s="31">
        <f>11480</f>
        <v>11480</v>
      </c>
      <c r="R261" s="32" t="s">
        <v>818</v>
      </c>
      <c r="S261" s="33">
        <f>11813.68</f>
        <v>11813.68</v>
      </c>
      <c r="T261" s="30">
        <f>623697</f>
        <v>623697</v>
      </c>
      <c r="U261" s="30">
        <f>166323</f>
        <v>166323</v>
      </c>
      <c r="V261" s="30">
        <f>7286592181</f>
        <v>7286592181</v>
      </c>
      <c r="W261" s="30">
        <f>1987863241</f>
        <v>1987863241</v>
      </c>
      <c r="X261" s="34">
        <f>19</f>
        <v>19</v>
      </c>
    </row>
    <row r="262" spans="1:24" x14ac:dyDescent="0.15">
      <c r="A262" s="25" t="s">
        <v>817</v>
      </c>
      <c r="B262" s="25" t="s">
        <v>833</v>
      </c>
      <c r="C262" s="25" t="s">
        <v>834</v>
      </c>
      <c r="D262" s="25" t="s">
        <v>835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13675</f>
        <v>13675</v>
      </c>
      <c r="L262" s="32" t="s">
        <v>811</v>
      </c>
      <c r="M262" s="31">
        <f>13770</f>
        <v>13770</v>
      </c>
      <c r="N262" s="32" t="s">
        <v>811</v>
      </c>
      <c r="O262" s="31">
        <f>11425</f>
        <v>11425</v>
      </c>
      <c r="P262" s="32" t="s">
        <v>266</v>
      </c>
      <c r="Q262" s="31">
        <f>12035</f>
        <v>12035</v>
      </c>
      <c r="R262" s="32" t="s">
        <v>818</v>
      </c>
      <c r="S262" s="33">
        <f>12544.21</f>
        <v>12544.21</v>
      </c>
      <c r="T262" s="30">
        <f>1194659</f>
        <v>1194659</v>
      </c>
      <c r="U262" s="30">
        <f>63469</f>
        <v>63469</v>
      </c>
      <c r="V262" s="30">
        <f>14981959825</f>
        <v>14981959825</v>
      </c>
      <c r="W262" s="30">
        <f>814880585</f>
        <v>814880585</v>
      </c>
      <c r="X262" s="34">
        <f>19</f>
        <v>19</v>
      </c>
    </row>
    <row r="263" spans="1:24" x14ac:dyDescent="0.15">
      <c r="A263" s="25" t="s">
        <v>817</v>
      </c>
      <c r="B263" s="25" t="s">
        <v>836</v>
      </c>
      <c r="C263" s="25" t="s">
        <v>837</v>
      </c>
      <c r="D263" s="25" t="s">
        <v>838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12475</f>
        <v>12475</v>
      </c>
      <c r="L263" s="32" t="s">
        <v>811</v>
      </c>
      <c r="M263" s="31">
        <f>12505</f>
        <v>12505</v>
      </c>
      <c r="N263" s="32" t="s">
        <v>811</v>
      </c>
      <c r="O263" s="31">
        <f>10490</f>
        <v>10490</v>
      </c>
      <c r="P263" s="32" t="s">
        <v>266</v>
      </c>
      <c r="Q263" s="31">
        <f>10955</f>
        <v>10955</v>
      </c>
      <c r="R263" s="32" t="s">
        <v>818</v>
      </c>
      <c r="S263" s="33">
        <f>11486.84</f>
        <v>11486.84</v>
      </c>
      <c r="T263" s="30">
        <f>892099</f>
        <v>892099</v>
      </c>
      <c r="U263" s="30">
        <f>193500</f>
        <v>193500</v>
      </c>
      <c r="V263" s="30">
        <f>10255430157</f>
        <v>10255430157</v>
      </c>
      <c r="W263" s="30">
        <f>2293163087</f>
        <v>2293163087</v>
      </c>
      <c r="X263" s="34">
        <f>19</f>
        <v>19</v>
      </c>
    </row>
    <row r="264" spans="1:24" x14ac:dyDescent="0.15">
      <c r="A264" s="25" t="s">
        <v>817</v>
      </c>
      <c r="B264" s="25" t="s">
        <v>839</v>
      </c>
      <c r="C264" s="25" t="s">
        <v>840</v>
      </c>
      <c r="D264" s="25" t="s">
        <v>841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2597</f>
        <v>2597</v>
      </c>
      <c r="L264" s="32" t="s">
        <v>811</v>
      </c>
      <c r="M264" s="31">
        <f>2597</f>
        <v>2597</v>
      </c>
      <c r="N264" s="32" t="s">
        <v>811</v>
      </c>
      <c r="O264" s="31">
        <f>2273.5</f>
        <v>2273.5</v>
      </c>
      <c r="P264" s="32" t="s">
        <v>266</v>
      </c>
      <c r="Q264" s="31">
        <f>2377.5</f>
        <v>2377.5</v>
      </c>
      <c r="R264" s="32" t="s">
        <v>818</v>
      </c>
      <c r="S264" s="33">
        <f>2433.47</f>
        <v>2433.4699999999998</v>
      </c>
      <c r="T264" s="30">
        <f>1709440</f>
        <v>1709440</v>
      </c>
      <c r="U264" s="30">
        <f>863000</f>
        <v>863000</v>
      </c>
      <c r="V264" s="30">
        <f>4026544759</f>
        <v>4026544759</v>
      </c>
      <c r="W264" s="30">
        <f>1996242569</f>
        <v>1996242569</v>
      </c>
      <c r="X264" s="34">
        <f>19</f>
        <v>19</v>
      </c>
    </row>
    <row r="265" spans="1:24" x14ac:dyDescent="0.15">
      <c r="A265" s="25" t="s">
        <v>817</v>
      </c>
      <c r="B265" s="25" t="s">
        <v>842</v>
      </c>
      <c r="C265" s="25" t="s">
        <v>843</v>
      </c>
      <c r="D265" s="25" t="s">
        <v>844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2428.5</f>
        <v>2428.5</v>
      </c>
      <c r="L265" s="32" t="s">
        <v>811</v>
      </c>
      <c r="M265" s="31">
        <f>2433.5</f>
        <v>2433.5</v>
      </c>
      <c r="N265" s="32" t="s">
        <v>811</v>
      </c>
      <c r="O265" s="31">
        <f>2166</f>
        <v>2166</v>
      </c>
      <c r="P265" s="32" t="s">
        <v>266</v>
      </c>
      <c r="Q265" s="31">
        <f>2249</f>
        <v>2249</v>
      </c>
      <c r="R265" s="32" t="s">
        <v>818</v>
      </c>
      <c r="S265" s="33">
        <f>2315.42</f>
        <v>2315.42</v>
      </c>
      <c r="T265" s="30">
        <f>3184010</f>
        <v>3184010</v>
      </c>
      <c r="U265" s="30">
        <f>1632620</f>
        <v>1632620</v>
      </c>
      <c r="V265" s="30">
        <f>7399927088</f>
        <v>7399927088</v>
      </c>
      <c r="W265" s="30">
        <f>3776600333</f>
        <v>3776600333</v>
      </c>
      <c r="X265" s="34">
        <f>19</f>
        <v>19</v>
      </c>
    </row>
    <row r="266" spans="1:24" x14ac:dyDescent="0.15">
      <c r="A266" s="25" t="s">
        <v>817</v>
      </c>
      <c r="B266" s="25" t="s">
        <v>845</v>
      </c>
      <c r="C266" s="25" t="s">
        <v>846</v>
      </c>
      <c r="D266" s="25" t="s">
        <v>847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2633</f>
        <v>2633</v>
      </c>
      <c r="L266" s="32" t="s">
        <v>811</v>
      </c>
      <c r="M266" s="31">
        <f>2639</f>
        <v>2639</v>
      </c>
      <c r="N266" s="32" t="s">
        <v>811</v>
      </c>
      <c r="O266" s="31">
        <f>2325</f>
        <v>2325</v>
      </c>
      <c r="P266" s="32" t="s">
        <v>266</v>
      </c>
      <c r="Q266" s="31">
        <f>2439.5</f>
        <v>2439.5</v>
      </c>
      <c r="R266" s="32" t="s">
        <v>818</v>
      </c>
      <c r="S266" s="33">
        <f>2487.08</f>
        <v>2487.08</v>
      </c>
      <c r="T266" s="30">
        <f>850770</f>
        <v>850770</v>
      </c>
      <c r="U266" s="30">
        <f>30</f>
        <v>30</v>
      </c>
      <c r="V266" s="30">
        <f>2105039375</f>
        <v>2105039375</v>
      </c>
      <c r="W266" s="30">
        <f>77100</f>
        <v>77100</v>
      </c>
      <c r="X266" s="34">
        <f>19</f>
        <v>19</v>
      </c>
    </row>
    <row r="267" spans="1:24" x14ac:dyDescent="0.15">
      <c r="A267" s="25" t="s">
        <v>817</v>
      </c>
      <c r="B267" s="25" t="s">
        <v>848</v>
      </c>
      <c r="C267" s="25" t="s">
        <v>849</v>
      </c>
      <c r="D267" s="25" t="s">
        <v>850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2866</f>
        <v>2866</v>
      </c>
      <c r="L267" s="32" t="s">
        <v>811</v>
      </c>
      <c r="M267" s="31">
        <f>2886</f>
        <v>2886</v>
      </c>
      <c r="N267" s="32" t="s">
        <v>811</v>
      </c>
      <c r="O267" s="31">
        <f>2475</f>
        <v>2475</v>
      </c>
      <c r="P267" s="32" t="s">
        <v>266</v>
      </c>
      <c r="Q267" s="31">
        <f>2563</f>
        <v>2563</v>
      </c>
      <c r="R267" s="32" t="s">
        <v>818</v>
      </c>
      <c r="S267" s="33">
        <f>2679.11</f>
        <v>2679.11</v>
      </c>
      <c r="T267" s="30">
        <f>17532</f>
        <v>17532</v>
      </c>
      <c r="U267" s="30" t="str">
        <f>"－"</f>
        <v>－</v>
      </c>
      <c r="V267" s="30">
        <f>46202528</f>
        <v>46202528</v>
      </c>
      <c r="W267" s="30" t="str">
        <f>"－"</f>
        <v>－</v>
      </c>
      <c r="X267" s="34">
        <f>19</f>
        <v>19</v>
      </c>
    </row>
    <row r="268" spans="1:24" x14ac:dyDescent="0.15">
      <c r="A268" s="25" t="s">
        <v>817</v>
      </c>
      <c r="B268" s="25" t="s">
        <v>851</v>
      </c>
      <c r="C268" s="25" t="s">
        <v>852</v>
      </c>
      <c r="D268" s="25" t="s">
        <v>853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1771</f>
        <v>1771</v>
      </c>
      <c r="L268" s="32" t="s">
        <v>811</v>
      </c>
      <c r="M268" s="31">
        <f>1783</f>
        <v>1783</v>
      </c>
      <c r="N268" s="32" t="s">
        <v>810</v>
      </c>
      <c r="O268" s="31">
        <f>1498</f>
        <v>1498</v>
      </c>
      <c r="P268" s="32" t="s">
        <v>266</v>
      </c>
      <c r="Q268" s="31">
        <f>1574</f>
        <v>1574</v>
      </c>
      <c r="R268" s="32" t="s">
        <v>818</v>
      </c>
      <c r="S268" s="33">
        <f>1657.11</f>
        <v>1657.11</v>
      </c>
      <c r="T268" s="30">
        <f>75187</f>
        <v>75187</v>
      </c>
      <c r="U268" s="30">
        <f>5</f>
        <v>5</v>
      </c>
      <c r="V268" s="30">
        <f>123530563</f>
        <v>123530563</v>
      </c>
      <c r="W268" s="30">
        <f>8580</f>
        <v>8580</v>
      </c>
      <c r="X268" s="34">
        <f>19</f>
        <v>19</v>
      </c>
    </row>
    <row r="269" spans="1:24" x14ac:dyDescent="0.15">
      <c r="A269" s="25" t="s">
        <v>817</v>
      </c>
      <c r="B269" s="25" t="s">
        <v>854</v>
      </c>
      <c r="C269" s="25" t="s">
        <v>855</v>
      </c>
      <c r="D269" s="25" t="s">
        <v>856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2337</f>
        <v>2337</v>
      </c>
      <c r="L269" s="32" t="s">
        <v>811</v>
      </c>
      <c r="M269" s="31">
        <f>2347</f>
        <v>2347</v>
      </c>
      <c r="N269" s="32" t="s">
        <v>811</v>
      </c>
      <c r="O269" s="31">
        <f>1887</f>
        <v>1887</v>
      </c>
      <c r="P269" s="32" t="s">
        <v>266</v>
      </c>
      <c r="Q269" s="31">
        <f>1940</f>
        <v>1940</v>
      </c>
      <c r="R269" s="32" t="s">
        <v>818</v>
      </c>
      <c r="S269" s="33">
        <f>2110.32</f>
        <v>2110.3200000000002</v>
      </c>
      <c r="T269" s="30">
        <f>35056</f>
        <v>35056</v>
      </c>
      <c r="U269" s="30" t="str">
        <f t="shared" ref="U269:U274" si="14">"－"</f>
        <v>－</v>
      </c>
      <c r="V269" s="30">
        <f>74009920</f>
        <v>74009920</v>
      </c>
      <c r="W269" s="30" t="str">
        <f t="shared" ref="W269:W274" si="15">"－"</f>
        <v>－</v>
      </c>
      <c r="X269" s="34">
        <f>19</f>
        <v>19</v>
      </c>
    </row>
    <row r="270" spans="1:24" x14ac:dyDescent="0.15">
      <c r="A270" s="25" t="s">
        <v>817</v>
      </c>
      <c r="B270" s="25" t="s">
        <v>857</v>
      </c>
      <c r="C270" s="25" t="s">
        <v>858</v>
      </c>
      <c r="D270" s="25" t="s">
        <v>859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1826</f>
        <v>1826</v>
      </c>
      <c r="L270" s="32" t="s">
        <v>811</v>
      </c>
      <c r="M270" s="31">
        <f>1826</f>
        <v>1826</v>
      </c>
      <c r="N270" s="32" t="s">
        <v>811</v>
      </c>
      <c r="O270" s="31">
        <f>1514</f>
        <v>1514</v>
      </c>
      <c r="P270" s="32" t="s">
        <v>266</v>
      </c>
      <c r="Q270" s="31">
        <f>1562</f>
        <v>1562</v>
      </c>
      <c r="R270" s="32" t="s">
        <v>818</v>
      </c>
      <c r="S270" s="33">
        <f>1627.84</f>
        <v>1627.84</v>
      </c>
      <c r="T270" s="30">
        <f>36050</f>
        <v>36050</v>
      </c>
      <c r="U270" s="30" t="str">
        <f t="shared" si="14"/>
        <v>－</v>
      </c>
      <c r="V270" s="30">
        <f>58835123</f>
        <v>58835123</v>
      </c>
      <c r="W270" s="30" t="str">
        <f t="shared" si="15"/>
        <v>－</v>
      </c>
      <c r="X270" s="34">
        <f>19</f>
        <v>19</v>
      </c>
    </row>
    <row r="271" spans="1:24" x14ac:dyDescent="0.15">
      <c r="A271" s="25" t="s">
        <v>817</v>
      </c>
      <c r="B271" s="25" t="s">
        <v>860</v>
      </c>
      <c r="C271" s="25" t="s">
        <v>861</v>
      </c>
      <c r="D271" s="25" t="s">
        <v>862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2533</f>
        <v>2533</v>
      </c>
      <c r="L271" s="32" t="s">
        <v>811</v>
      </c>
      <c r="M271" s="31">
        <f>2562</f>
        <v>2562</v>
      </c>
      <c r="N271" s="32" t="s">
        <v>811</v>
      </c>
      <c r="O271" s="31">
        <f>2228</f>
        <v>2228</v>
      </c>
      <c r="P271" s="32" t="s">
        <v>266</v>
      </c>
      <c r="Q271" s="31">
        <f>2318</f>
        <v>2318</v>
      </c>
      <c r="R271" s="32" t="s">
        <v>818</v>
      </c>
      <c r="S271" s="33">
        <f>2370.89</f>
        <v>2370.89</v>
      </c>
      <c r="T271" s="30">
        <f>63390</f>
        <v>63390</v>
      </c>
      <c r="U271" s="30" t="str">
        <f t="shared" si="14"/>
        <v>－</v>
      </c>
      <c r="V271" s="30">
        <f>151688235</f>
        <v>151688235</v>
      </c>
      <c r="W271" s="30" t="str">
        <f t="shared" si="15"/>
        <v>－</v>
      </c>
      <c r="X271" s="34">
        <f>19</f>
        <v>19</v>
      </c>
    </row>
    <row r="272" spans="1:24" x14ac:dyDescent="0.15">
      <c r="A272" s="25" t="s">
        <v>817</v>
      </c>
      <c r="B272" s="25" t="s">
        <v>863</v>
      </c>
      <c r="C272" s="25" t="s">
        <v>864</v>
      </c>
      <c r="D272" s="25" t="s">
        <v>865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2170</f>
        <v>2170</v>
      </c>
      <c r="L272" s="32" t="s">
        <v>811</v>
      </c>
      <c r="M272" s="31">
        <f>2245</f>
        <v>2245</v>
      </c>
      <c r="N272" s="32" t="s">
        <v>811</v>
      </c>
      <c r="O272" s="31">
        <f>1921</f>
        <v>1921</v>
      </c>
      <c r="P272" s="32" t="s">
        <v>266</v>
      </c>
      <c r="Q272" s="31">
        <f>2011</f>
        <v>2011</v>
      </c>
      <c r="R272" s="32" t="s">
        <v>818</v>
      </c>
      <c r="S272" s="33">
        <f>2096.53</f>
        <v>2096.5300000000002</v>
      </c>
      <c r="T272" s="30">
        <f>77745</f>
        <v>77745</v>
      </c>
      <c r="U272" s="30" t="str">
        <f t="shared" si="14"/>
        <v>－</v>
      </c>
      <c r="V272" s="30">
        <f>158255746</f>
        <v>158255746</v>
      </c>
      <c r="W272" s="30" t="str">
        <f t="shared" si="15"/>
        <v>－</v>
      </c>
      <c r="X272" s="34">
        <f>19</f>
        <v>19</v>
      </c>
    </row>
    <row r="273" spans="1:24" x14ac:dyDescent="0.15">
      <c r="A273" s="25" t="s">
        <v>817</v>
      </c>
      <c r="B273" s="25" t="s">
        <v>866</v>
      </c>
      <c r="C273" s="25" t="s">
        <v>867</v>
      </c>
      <c r="D273" s="25" t="s">
        <v>868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27220</f>
        <v>27220</v>
      </c>
      <c r="L273" s="32" t="s">
        <v>810</v>
      </c>
      <c r="M273" s="31">
        <f>27220</f>
        <v>27220</v>
      </c>
      <c r="N273" s="32" t="s">
        <v>810</v>
      </c>
      <c r="O273" s="31">
        <f>24775</f>
        <v>24775</v>
      </c>
      <c r="P273" s="32" t="s">
        <v>94</v>
      </c>
      <c r="Q273" s="31">
        <f>25180</f>
        <v>25180</v>
      </c>
      <c r="R273" s="32" t="s">
        <v>818</v>
      </c>
      <c r="S273" s="33">
        <f>26053.67</f>
        <v>26053.67</v>
      </c>
      <c r="T273" s="30">
        <f>119</f>
        <v>119</v>
      </c>
      <c r="U273" s="30" t="str">
        <f t="shared" si="14"/>
        <v>－</v>
      </c>
      <c r="V273" s="30">
        <f>3073060</f>
        <v>3073060</v>
      </c>
      <c r="W273" s="30" t="str">
        <f t="shared" si="15"/>
        <v>－</v>
      </c>
      <c r="X273" s="34">
        <f>15</f>
        <v>15</v>
      </c>
    </row>
    <row r="274" spans="1:24" x14ac:dyDescent="0.15">
      <c r="A274" s="25" t="s">
        <v>817</v>
      </c>
      <c r="B274" s="25" t="s">
        <v>869</v>
      </c>
      <c r="C274" s="25" t="s">
        <v>870</v>
      </c>
      <c r="D274" s="25" t="s">
        <v>871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2118</f>
        <v>2118</v>
      </c>
      <c r="L274" s="32" t="s">
        <v>811</v>
      </c>
      <c r="M274" s="31">
        <f>2161</f>
        <v>2161</v>
      </c>
      <c r="N274" s="32" t="s">
        <v>810</v>
      </c>
      <c r="O274" s="31">
        <f>1936</f>
        <v>1936</v>
      </c>
      <c r="P274" s="32" t="s">
        <v>266</v>
      </c>
      <c r="Q274" s="31">
        <f>2006</f>
        <v>2006</v>
      </c>
      <c r="R274" s="32" t="s">
        <v>818</v>
      </c>
      <c r="S274" s="33">
        <f>2064.32</f>
        <v>2064.3200000000002</v>
      </c>
      <c r="T274" s="30">
        <f>174465</f>
        <v>174465</v>
      </c>
      <c r="U274" s="30" t="str">
        <f t="shared" si="14"/>
        <v>－</v>
      </c>
      <c r="V274" s="30">
        <f>361585458</f>
        <v>361585458</v>
      </c>
      <c r="W274" s="30" t="str">
        <f t="shared" si="15"/>
        <v>－</v>
      </c>
      <c r="X274" s="34">
        <f>19</f>
        <v>19</v>
      </c>
    </row>
    <row r="275" spans="1:24" x14ac:dyDescent="0.15">
      <c r="A275" s="25" t="s">
        <v>817</v>
      </c>
      <c r="B275" s="25" t="s">
        <v>872</v>
      </c>
      <c r="C275" s="25" t="s">
        <v>873</v>
      </c>
      <c r="D275" s="25" t="s">
        <v>874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2762</f>
        <v>2762</v>
      </c>
      <c r="L275" s="32" t="s">
        <v>811</v>
      </c>
      <c r="M275" s="31">
        <f>2762</f>
        <v>2762</v>
      </c>
      <c r="N275" s="32" t="s">
        <v>811</v>
      </c>
      <c r="O275" s="31">
        <f>2100</f>
        <v>2100</v>
      </c>
      <c r="P275" s="32" t="s">
        <v>94</v>
      </c>
      <c r="Q275" s="31">
        <f>2266</f>
        <v>2266</v>
      </c>
      <c r="R275" s="32" t="s">
        <v>818</v>
      </c>
      <c r="S275" s="33">
        <f>2440.05</f>
        <v>2440.0500000000002</v>
      </c>
      <c r="T275" s="30">
        <f>560745</f>
        <v>560745</v>
      </c>
      <c r="U275" s="30">
        <f>57005</f>
        <v>57005</v>
      </c>
      <c r="V275" s="30">
        <f>1387262725</f>
        <v>1387262725</v>
      </c>
      <c r="W275" s="30">
        <f>148902934</f>
        <v>148902934</v>
      </c>
      <c r="X275" s="34">
        <f>19</f>
        <v>19</v>
      </c>
    </row>
    <row r="276" spans="1:24" x14ac:dyDescent="0.15">
      <c r="A276" s="25" t="s">
        <v>817</v>
      </c>
      <c r="B276" s="25" t="s">
        <v>875</v>
      </c>
      <c r="C276" s="25" t="s">
        <v>876</v>
      </c>
      <c r="D276" s="25" t="s">
        <v>877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2021</f>
        <v>2021</v>
      </c>
      <c r="L276" s="32" t="s">
        <v>811</v>
      </c>
      <c r="M276" s="31">
        <f>2025</f>
        <v>2025</v>
      </c>
      <c r="N276" s="32" t="s">
        <v>810</v>
      </c>
      <c r="O276" s="31">
        <f>1723</f>
        <v>1723</v>
      </c>
      <c r="P276" s="32" t="s">
        <v>266</v>
      </c>
      <c r="Q276" s="31">
        <f>1811</f>
        <v>1811</v>
      </c>
      <c r="R276" s="32" t="s">
        <v>818</v>
      </c>
      <c r="S276" s="33">
        <f>1882.58</f>
        <v>1882.58</v>
      </c>
      <c r="T276" s="30">
        <f>54666</f>
        <v>54666</v>
      </c>
      <c r="U276" s="30" t="str">
        <f>"－"</f>
        <v>－</v>
      </c>
      <c r="V276" s="30">
        <f>102449023</f>
        <v>102449023</v>
      </c>
      <c r="W276" s="30" t="str">
        <f>"－"</f>
        <v>－</v>
      </c>
      <c r="X276" s="34">
        <f>19</f>
        <v>19</v>
      </c>
    </row>
    <row r="277" spans="1:24" x14ac:dyDescent="0.15">
      <c r="A277" s="25" t="s">
        <v>817</v>
      </c>
      <c r="B277" s="25" t="s">
        <v>878</v>
      </c>
      <c r="C277" s="25" t="s">
        <v>879</v>
      </c>
      <c r="D277" s="25" t="s">
        <v>880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1408</f>
        <v>1408</v>
      </c>
      <c r="L277" s="32" t="s">
        <v>811</v>
      </c>
      <c r="M277" s="31">
        <f>1470</f>
        <v>1470</v>
      </c>
      <c r="N277" s="32" t="s">
        <v>819</v>
      </c>
      <c r="O277" s="31">
        <f>1369</f>
        <v>1369</v>
      </c>
      <c r="P277" s="32" t="s">
        <v>266</v>
      </c>
      <c r="Q277" s="31">
        <f>1419</f>
        <v>1419</v>
      </c>
      <c r="R277" s="32" t="s">
        <v>818</v>
      </c>
      <c r="S277" s="33">
        <f>1419.63</f>
        <v>1419.63</v>
      </c>
      <c r="T277" s="30">
        <f>11990</f>
        <v>11990</v>
      </c>
      <c r="U277" s="30" t="str">
        <f>"－"</f>
        <v>－</v>
      </c>
      <c r="V277" s="30">
        <f>17167534</f>
        <v>17167534</v>
      </c>
      <c r="W277" s="30" t="str">
        <f>"－"</f>
        <v>－</v>
      </c>
      <c r="X277" s="34">
        <f>19</f>
        <v>19</v>
      </c>
    </row>
    <row r="278" spans="1:24" x14ac:dyDescent="0.15">
      <c r="A278" s="25" t="s">
        <v>817</v>
      </c>
      <c r="B278" s="25" t="s">
        <v>881</v>
      </c>
      <c r="C278" s="25" t="s">
        <v>882</v>
      </c>
      <c r="D278" s="25" t="s">
        <v>883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5092</f>
        <v>5092</v>
      </c>
      <c r="L278" s="32" t="s">
        <v>810</v>
      </c>
      <c r="M278" s="31">
        <f>5092</f>
        <v>5092</v>
      </c>
      <c r="N278" s="32" t="s">
        <v>810</v>
      </c>
      <c r="O278" s="31">
        <f>4938</f>
        <v>4938</v>
      </c>
      <c r="P278" s="32" t="s">
        <v>87</v>
      </c>
      <c r="Q278" s="31">
        <f>4944</f>
        <v>4944</v>
      </c>
      <c r="R278" s="32" t="s">
        <v>266</v>
      </c>
      <c r="S278" s="33">
        <f>4985.46</f>
        <v>4985.46</v>
      </c>
      <c r="T278" s="30">
        <f>157780</f>
        <v>157780</v>
      </c>
      <c r="U278" s="30">
        <f>144490</f>
        <v>144490</v>
      </c>
      <c r="V278" s="30">
        <f>784025974</f>
        <v>784025974</v>
      </c>
      <c r="W278" s="30">
        <f>718082174</f>
        <v>718082174</v>
      </c>
      <c r="X278" s="34">
        <f>13</f>
        <v>13</v>
      </c>
    </row>
    <row r="279" spans="1:24" x14ac:dyDescent="0.15">
      <c r="A279" s="25" t="s">
        <v>817</v>
      </c>
      <c r="B279" s="25" t="s">
        <v>884</v>
      </c>
      <c r="C279" s="25" t="s">
        <v>885</v>
      </c>
      <c r="D279" s="25" t="s">
        <v>886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4990</f>
        <v>4990</v>
      </c>
      <c r="L279" s="32" t="s">
        <v>811</v>
      </c>
      <c r="M279" s="31">
        <f>4990</f>
        <v>4990</v>
      </c>
      <c r="N279" s="32" t="s">
        <v>811</v>
      </c>
      <c r="O279" s="31">
        <f>4878</f>
        <v>4878</v>
      </c>
      <c r="P279" s="32" t="s">
        <v>816</v>
      </c>
      <c r="Q279" s="31">
        <f>4917</f>
        <v>4917</v>
      </c>
      <c r="R279" s="32" t="s">
        <v>818</v>
      </c>
      <c r="S279" s="33">
        <f>4925.33</f>
        <v>4925.33</v>
      </c>
      <c r="T279" s="30">
        <f>591180</f>
        <v>591180</v>
      </c>
      <c r="U279" s="30">
        <f>275900</f>
        <v>275900</v>
      </c>
      <c r="V279" s="30">
        <f>2906082067</f>
        <v>2906082067</v>
      </c>
      <c r="W279" s="30">
        <f>1362032957</f>
        <v>1362032957</v>
      </c>
      <c r="X279" s="34">
        <f>15</f>
        <v>15</v>
      </c>
    </row>
    <row r="280" spans="1:24" x14ac:dyDescent="0.15">
      <c r="A280" s="25" t="s">
        <v>817</v>
      </c>
      <c r="B280" s="25" t="s">
        <v>887</v>
      </c>
      <c r="C280" s="25" t="s">
        <v>888</v>
      </c>
      <c r="D280" s="25" t="s">
        <v>889</v>
      </c>
      <c r="E280" s="26" t="s">
        <v>808</v>
      </c>
      <c r="F280" s="27" t="s">
        <v>809</v>
      </c>
      <c r="G280" s="28" t="s">
        <v>890</v>
      </c>
      <c r="H280" s="29"/>
      <c r="I280" s="29" t="s">
        <v>46</v>
      </c>
      <c r="J280" s="30">
        <v>10</v>
      </c>
      <c r="K280" s="31">
        <f>804.9</f>
        <v>804.9</v>
      </c>
      <c r="L280" s="32" t="s">
        <v>695</v>
      </c>
      <c r="M280" s="31">
        <f>808.5</f>
        <v>808.5</v>
      </c>
      <c r="N280" s="32" t="s">
        <v>815</v>
      </c>
      <c r="O280" s="31">
        <f>792.5</f>
        <v>792.5</v>
      </c>
      <c r="P280" s="32" t="s">
        <v>816</v>
      </c>
      <c r="Q280" s="31">
        <f>799.1</f>
        <v>799.1</v>
      </c>
      <c r="R280" s="32" t="s">
        <v>818</v>
      </c>
      <c r="S280" s="33">
        <f>799.55</f>
        <v>799.55</v>
      </c>
      <c r="T280" s="30">
        <f>16870</f>
        <v>16870</v>
      </c>
      <c r="U280" s="30" t="str">
        <f>"－"</f>
        <v>－</v>
      </c>
      <c r="V280" s="30">
        <f>13520114</f>
        <v>13520114</v>
      </c>
      <c r="W280" s="30" t="str">
        <f>"－"</f>
        <v>－</v>
      </c>
      <c r="X280" s="34">
        <f>12</f>
        <v>12</v>
      </c>
    </row>
    <row r="281" spans="1:24" x14ac:dyDescent="0.15">
      <c r="A281" s="25" t="s">
        <v>817</v>
      </c>
      <c r="B281" s="25" t="s">
        <v>891</v>
      </c>
      <c r="C281" s="25" t="s">
        <v>892</v>
      </c>
      <c r="D281" s="25" t="s">
        <v>893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2601</f>
        <v>2601</v>
      </c>
      <c r="L281" s="32" t="s">
        <v>811</v>
      </c>
      <c r="M281" s="31">
        <f>2617</f>
        <v>2617</v>
      </c>
      <c r="N281" s="32" t="s">
        <v>811</v>
      </c>
      <c r="O281" s="31">
        <f>2063</f>
        <v>2063</v>
      </c>
      <c r="P281" s="32" t="s">
        <v>94</v>
      </c>
      <c r="Q281" s="31">
        <f>2153</f>
        <v>2153</v>
      </c>
      <c r="R281" s="32" t="s">
        <v>818</v>
      </c>
      <c r="S281" s="33">
        <f>2308.26</f>
        <v>2308.2600000000002</v>
      </c>
      <c r="T281" s="30">
        <f>105693</f>
        <v>105693</v>
      </c>
      <c r="U281" s="30" t="str">
        <f>"－"</f>
        <v>－</v>
      </c>
      <c r="V281" s="30">
        <f>241842777</f>
        <v>241842777</v>
      </c>
      <c r="W281" s="30" t="str">
        <f>"－"</f>
        <v>－</v>
      </c>
      <c r="X281" s="34">
        <f>19</f>
        <v>19</v>
      </c>
    </row>
    <row r="282" spans="1:24" x14ac:dyDescent="0.15">
      <c r="A282" s="25" t="s">
        <v>817</v>
      </c>
      <c r="B282" s="25" t="s">
        <v>894</v>
      </c>
      <c r="C282" s="25" t="s">
        <v>895</v>
      </c>
      <c r="D282" s="25" t="s">
        <v>896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2079</f>
        <v>2079</v>
      </c>
      <c r="L282" s="32" t="s">
        <v>811</v>
      </c>
      <c r="M282" s="31">
        <f>2079</f>
        <v>2079</v>
      </c>
      <c r="N282" s="32" t="s">
        <v>811</v>
      </c>
      <c r="O282" s="31">
        <f>1731</f>
        <v>1731</v>
      </c>
      <c r="P282" s="32" t="s">
        <v>266</v>
      </c>
      <c r="Q282" s="31">
        <f>1813</f>
        <v>1813</v>
      </c>
      <c r="R282" s="32" t="s">
        <v>818</v>
      </c>
      <c r="S282" s="33">
        <f>1888.05</f>
        <v>1888.05</v>
      </c>
      <c r="T282" s="30">
        <f>5949</f>
        <v>5949</v>
      </c>
      <c r="U282" s="30" t="str">
        <f>"－"</f>
        <v>－</v>
      </c>
      <c r="V282" s="30">
        <f>11404504</f>
        <v>11404504</v>
      </c>
      <c r="W282" s="30" t="str">
        <f>"－"</f>
        <v>－</v>
      </c>
      <c r="X282" s="34">
        <f>19</f>
        <v>19</v>
      </c>
    </row>
    <row r="283" spans="1:24" x14ac:dyDescent="0.15">
      <c r="A283" s="25" t="s">
        <v>817</v>
      </c>
      <c r="B283" s="25" t="s">
        <v>897</v>
      </c>
      <c r="C283" s="25" t="s">
        <v>898</v>
      </c>
      <c r="D283" s="25" t="s">
        <v>899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7565</f>
        <v>7565</v>
      </c>
      <c r="L283" s="32" t="s">
        <v>811</v>
      </c>
      <c r="M283" s="31">
        <f>7609</f>
        <v>7609</v>
      </c>
      <c r="N283" s="32" t="s">
        <v>810</v>
      </c>
      <c r="O283" s="31">
        <f>7330</f>
        <v>7330</v>
      </c>
      <c r="P283" s="32" t="s">
        <v>816</v>
      </c>
      <c r="Q283" s="31">
        <f>7434</f>
        <v>7434</v>
      </c>
      <c r="R283" s="32" t="s">
        <v>818</v>
      </c>
      <c r="S283" s="33">
        <f>7425.63</f>
        <v>7425.63</v>
      </c>
      <c r="T283" s="30">
        <f>6977</f>
        <v>6977</v>
      </c>
      <c r="U283" s="30" t="str">
        <f>"－"</f>
        <v>－</v>
      </c>
      <c r="V283" s="30">
        <f>51851638</f>
        <v>51851638</v>
      </c>
      <c r="W283" s="30" t="str">
        <f>"－"</f>
        <v>－</v>
      </c>
      <c r="X283" s="34">
        <f>19</f>
        <v>19</v>
      </c>
    </row>
    <row r="284" spans="1:24" x14ac:dyDescent="0.15">
      <c r="A284" s="25" t="s">
        <v>817</v>
      </c>
      <c r="B284" s="25" t="s">
        <v>900</v>
      </c>
      <c r="C284" s="25" t="s">
        <v>901</v>
      </c>
      <c r="D284" s="25" t="s">
        <v>902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7442</f>
        <v>7442</v>
      </c>
      <c r="L284" s="32" t="s">
        <v>811</v>
      </c>
      <c r="M284" s="31">
        <f>7442</f>
        <v>7442</v>
      </c>
      <c r="N284" s="32" t="s">
        <v>811</v>
      </c>
      <c r="O284" s="31">
        <f>7271</f>
        <v>7271</v>
      </c>
      <c r="P284" s="32" t="s">
        <v>87</v>
      </c>
      <c r="Q284" s="31">
        <f>7317</f>
        <v>7317</v>
      </c>
      <c r="R284" s="32" t="s">
        <v>818</v>
      </c>
      <c r="S284" s="33">
        <f>7334.29</f>
        <v>7334.29</v>
      </c>
      <c r="T284" s="30">
        <f>2696</f>
        <v>2696</v>
      </c>
      <c r="U284" s="30" t="str">
        <f>"－"</f>
        <v>－</v>
      </c>
      <c r="V284" s="30">
        <f>19713013</f>
        <v>19713013</v>
      </c>
      <c r="W284" s="30" t="str">
        <f>"－"</f>
        <v>－</v>
      </c>
      <c r="X284" s="34">
        <f>14</f>
        <v>14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BD5F-4003-4731-B18F-9046E8824787}">
  <sheetPr>
    <pageSetUpPr fitToPage="1"/>
  </sheetPr>
  <dimension ref="A1:X313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1041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2037</f>
        <v>2037</v>
      </c>
      <c r="L7" s="32" t="s">
        <v>904</v>
      </c>
      <c r="M7" s="31">
        <f>2132.5</f>
        <v>2132.5</v>
      </c>
      <c r="N7" s="32" t="s">
        <v>820</v>
      </c>
      <c r="O7" s="31">
        <f>2008</f>
        <v>2008</v>
      </c>
      <c r="P7" s="32" t="s">
        <v>811</v>
      </c>
      <c r="Q7" s="31">
        <f>2089.5</f>
        <v>2089.5</v>
      </c>
      <c r="R7" s="32" t="s">
        <v>934</v>
      </c>
      <c r="S7" s="33">
        <f>2072.9</f>
        <v>2072.9</v>
      </c>
      <c r="T7" s="30">
        <f>8057220</f>
        <v>8057220</v>
      </c>
      <c r="U7" s="30">
        <f>3373330</f>
        <v>3373330</v>
      </c>
      <c r="V7" s="30">
        <f>16821687738</f>
        <v>16821687738</v>
      </c>
      <c r="W7" s="30">
        <f>7025781838</f>
        <v>7025781838</v>
      </c>
      <c r="X7" s="34">
        <f>20</f>
        <v>20</v>
      </c>
    </row>
    <row r="8" spans="1:24" x14ac:dyDescent="0.15">
      <c r="A8" s="25" t="s">
        <v>1041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2014.5</f>
        <v>2014.5</v>
      </c>
      <c r="L8" s="32" t="s">
        <v>904</v>
      </c>
      <c r="M8" s="31">
        <f>2109.5</f>
        <v>2109.5</v>
      </c>
      <c r="N8" s="32" t="s">
        <v>820</v>
      </c>
      <c r="O8" s="31">
        <f>1987.5</f>
        <v>1987.5</v>
      </c>
      <c r="P8" s="32" t="s">
        <v>811</v>
      </c>
      <c r="Q8" s="31">
        <f>2066.5</f>
        <v>2066.5</v>
      </c>
      <c r="R8" s="32" t="s">
        <v>934</v>
      </c>
      <c r="S8" s="33">
        <f>2051.18</f>
        <v>2051.1799999999998</v>
      </c>
      <c r="T8" s="30">
        <f>31100430</f>
        <v>31100430</v>
      </c>
      <c r="U8" s="30">
        <f>2145370</f>
        <v>2145370</v>
      </c>
      <c r="V8" s="30">
        <f>63720529996</f>
        <v>63720529996</v>
      </c>
      <c r="W8" s="30">
        <f>4427967191</f>
        <v>4427967191</v>
      </c>
      <c r="X8" s="34">
        <f>20</f>
        <v>20</v>
      </c>
    </row>
    <row r="9" spans="1:24" x14ac:dyDescent="0.15">
      <c r="A9" s="25" t="s">
        <v>1041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1991.5</f>
        <v>1991.5</v>
      </c>
      <c r="L9" s="32" t="s">
        <v>904</v>
      </c>
      <c r="M9" s="31">
        <f>2084.5</f>
        <v>2084.5</v>
      </c>
      <c r="N9" s="32" t="s">
        <v>820</v>
      </c>
      <c r="O9" s="31">
        <f>1964.5</f>
        <v>1964.5</v>
      </c>
      <c r="P9" s="32" t="s">
        <v>811</v>
      </c>
      <c r="Q9" s="31">
        <f>2042</f>
        <v>2042</v>
      </c>
      <c r="R9" s="32" t="s">
        <v>934</v>
      </c>
      <c r="S9" s="33">
        <f>2026</f>
        <v>2026</v>
      </c>
      <c r="T9" s="30">
        <f>6024200</f>
        <v>6024200</v>
      </c>
      <c r="U9" s="30">
        <f>2136400</f>
        <v>2136400</v>
      </c>
      <c r="V9" s="30">
        <f>12307380982</f>
        <v>12307380982</v>
      </c>
      <c r="W9" s="30">
        <f>4376582932</f>
        <v>4376582932</v>
      </c>
      <c r="X9" s="34">
        <f>20</f>
        <v>20</v>
      </c>
    </row>
    <row r="10" spans="1:24" x14ac:dyDescent="0.15">
      <c r="A10" s="25" t="s">
        <v>1041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37280</f>
        <v>37280</v>
      </c>
      <c r="L10" s="32" t="s">
        <v>904</v>
      </c>
      <c r="M10" s="31">
        <f>39820</f>
        <v>39820</v>
      </c>
      <c r="N10" s="32" t="s">
        <v>906</v>
      </c>
      <c r="O10" s="31">
        <f>37000</f>
        <v>37000</v>
      </c>
      <c r="P10" s="32" t="s">
        <v>909</v>
      </c>
      <c r="Q10" s="31">
        <f>38900</f>
        <v>38900</v>
      </c>
      <c r="R10" s="32" t="s">
        <v>934</v>
      </c>
      <c r="S10" s="33">
        <f>38523</f>
        <v>38523</v>
      </c>
      <c r="T10" s="30">
        <f>5041</f>
        <v>5041</v>
      </c>
      <c r="U10" s="30" t="str">
        <f>"－"</f>
        <v>－</v>
      </c>
      <c r="V10" s="30">
        <f>193358200</f>
        <v>193358200</v>
      </c>
      <c r="W10" s="30" t="str">
        <f>"－"</f>
        <v>－</v>
      </c>
      <c r="X10" s="34">
        <f>20</f>
        <v>20</v>
      </c>
    </row>
    <row r="11" spans="1:24" x14ac:dyDescent="0.15">
      <c r="A11" s="25" t="s">
        <v>1041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937.4</f>
        <v>937.4</v>
      </c>
      <c r="L11" s="32" t="s">
        <v>904</v>
      </c>
      <c r="M11" s="31">
        <f>988.1</f>
        <v>988.1</v>
      </c>
      <c r="N11" s="32" t="s">
        <v>820</v>
      </c>
      <c r="O11" s="31">
        <f>925</f>
        <v>925</v>
      </c>
      <c r="P11" s="32" t="s">
        <v>909</v>
      </c>
      <c r="Q11" s="31">
        <f>964.5</f>
        <v>964.5</v>
      </c>
      <c r="R11" s="32" t="s">
        <v>934</v>
      </c>
      <c r="S11" s="33">
        <f>958.99</f>
        <v>958.99</v>
      </c>
      <c r="T11" s="30">
        <f>107790</f>
        <v>107790</v>
      </c>
      <c r="U11" s="30">
        <f>10</f>
        <v>10</v>
      </c>
      <c r="V11" s="30">
        <f>104255181</f>
        <v>104255181</v>
      </c>
      <c r="W11" s="30">
        <f>9696</f>
        <v>9696</v>
      </c>
      <c r="X11" s="34">
        <f>20</f>
        <v>20</v>
      </c>
    </row>
    <row r="12" spans="1:24" x14ac:dyDescent="0.15">
      <c r="A12" s="25" t="s">
        <v>1041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 t="s">
        <v>333</v>
      </c>
      <c r="I12" s="29" t="s">
        <v>46</v>
      </c>
      <c r="J12" s="30">
        <v>1</v>
      </c>
      <c r="K12" s="31">
        <f>20000</f>
        <v>20000</v>
      </c>
      <c r="L12" s="32" t="s">
        <v>904</v>
      </c>
      <c r="M12" s="31">
        <f>21155</f>
        <v>21155</v>
      </c>
      <c r="N12" s="32" t="s">
        <v>821</v>
      </c>
      <c r="O12" s="31">
        <f>19760</f>
        <v>19760</v>
      </c>
      <c r="P12" s="32" t="s">
        <v>695</v>
      </c>
      <c r="Q12" s="31">
        <f>20305</f>
        <v>20305</v>
      </c>
      <c r="R12" s="32" t="s">
        <v>934</v>
      </c>
      <c r="S12" s="33">
        <f>20410.53</f>
        <v>20410.53</v>
      </c>
      <c r="T12" s="30">
        <f>526</f>
        <v>526</v>
      </c>
      <c r="U12" s="30" t="str">
        <f>"－"</f>
        <v>－</v>
      </c>
      <c r="V12" s="30">
        <f>10868120</f>
        <v>10868120</v>
      </c>
      <c r="W12" s="30" t="str">
        <f>"－"</f>
        <v>－</v>
      </c>
      <c r="X12" s="34">
        <f>19</f>
        <v>19</v>
      </c>
    </row>
    <row r="13" spans="1:24" x14ac:dyDescent="0.15">
      <c r="A13" s="25" t="s">
        <v>1041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3130</f>
        <v>3130</v>
      </c>
      <c r="L13" s="32" t="s">
        <v>904</v>
      </c>
      <c r="M13" s="31">
        <f>3840</f>
        <v>3840</v>
      </c>
      <c r="N13" s="32" t="s">
        <v>66</v>
      </c>
      <c r="O13" s="31">
        <f>3130</f>
        <v>3130</v>
      </c>
      <c r="P13" s="32" t="s">
        <v>904</v>
      </c>
      <c r="Q13" s="31">
        <f>3330</f>
        <v>3330</v>
      </c>
      <c r="R13" s="32" t="s">
        <v>934</v>
      </c>
      <c r="S13" s="33">
        <f>3331.32</f>
        <v>3331.32</v>
      </c>
      <c r="T13" s="30">
        <f>2200</f>
        <v>2200</v>
      </c>
      <c r="U13" s="30" t="str">
        <f>"－"</f>
        <v>－</v>
      </c>
      <c r="V13" s="30">
        <f>7466070</f>
        <v>7466070</v>
      </c>
      <c r="W13" s="30" t="str">
        <f>"－"</f>
        <v>－</v>
      </c>
      <c r="X13" s="34">
        <f>19</f>
        <v>19</v>
      </c>
    </row>
    <row r="14" spans="1:24" x14ac:dyDescent="0.15">
      <c r="A14" s="25" t="s">
        <v>1041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346.6</f>
        <v>346.6</v>
      </c>
      <c r="L14" s="32" t="s">
        <v>904</v>
      </c>
      <c r="M14" s="31">
        <f>358</f>
        <v>358</v>
      </c>
      <c r="N14" s="32" t="s">
        <v>815</v>
      </c>
      <c r="O14" s="31">
        <f>343.2</f>
        <v>343.2</v>
      </c>
      <c r="P14" s="32" t="s">
        <v>909</v>
      </c>
      <c r="Q14" s="31">
        <f>358</f>
        <v>358</v>
      </c>
      <c r="R14" s="32" t="s">
        <v>936</v>
      </c>
      <c r="S14" s="33">
        <f>353.98</f>
        <v>353.98</v>
      </c>
      <c r="T14" s="30">
        <f>43000</f>
        <v>43000</v>
      </c>
      <c r="U14" s="30" t="str">
        <f>"－"</f>
        <v>－</v>
      </c>
      <c r="V14" s="30">
        <f>15092900</f>
        <v>15092900</v>
      </c>
      <c r="W14" s="30" t="str">
        <f>"－"</f>
        <v>－</v>
      </c>
      <c r="X14" s="34">
        <f>13</f>
        <v>13</v>
      </c>
    </row>
    <row r="15" spans="1:24" x14ac:dyDescent="0.15">
      <c r="A15" s="25" t="s">
        <v>1041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28440</f>
        <v>28440</v>
      </c>
      <c r="L15" s="32" t="s">
        <v>904</v>
      </c>
      <c r="M15" s="31">
        <f>29360</f>
        <v>29360</v>
      </c>
      <c r="N15" s="32" t="s">
        <v>820</v>
      </c>
      <c r="O15" s="31">
        <f>27850</f>
        <v>27850</v>
      </c>
      <c r="P15" s="32" t="s">
        <v>811</v>
      </c>
      <c r="Q15" s="31">
        <f>28810</f>
        <v>28810</v>
      </c>
      <c r="R15" s="32" t="s">
        <v>934</v>
      </c>
      <c r="S15" s="33">
        <f>28745</f>
        <v>28745</v>
      </c>
      <c r="T15" s="30">
        <f>2869659</f>
        <v>2869659</v>
      </c>
      <c r="U15" s="30">
        <f>1260001</f>
        <v>1260001</v>
      </c>
      <c r="V15" s="30">
        <f>82630236320</f>
        <v>82630236320</v>
      </c>
      <c r="W15" s="30">
        <f>36295371725</f>
        <v>36295371725</v>
      </c>
      <c r="X15" s="34">
        <f>20</f>
        <v>20</v>
      </c>
    </row>
    <row r="16" spans="1:24" x14ac:dyDescent="0.15">
      <c r="A16" s="25" t="s">
        <v>1041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28525</f>
        <v>28525</v>
      </c>
      <c r="L16" s="32" t="s">
        <v>904</v>
      </c>
      <c r="M16" s="31">
        <f>29445</f>
        <v>29445</v>
      </c>
      <c r="N16" s="32" t="s">
        <v>820</v>
      </c>
      <c r="O16" s="31">
        <f>27930</f>
        <v>27930</v>
      </c>
      <c r="P16" s="32" t="s">
        <v>811</v>
      </c>
      <c r="Q16" s="31">
        <f>28910</f>
        <v>28910</v>
      </c>
      <c r="R16" s="32" t="s">
        <v>934</v>
      </c>
      <c r="S16" s="33">
        <f>28834.75</f>
        <v>28834.75</v>
      </c>
      <c r="T16" s="30">
        <f>4628817</f>
        <v>4628817</v>
      </c>
      <c r="U16" s="30">
        <f>305980</f>
        <v>305980</v>
      </c>
      <c r="V16" s="30">
        <f>133467580244</f>
        <v>133467580244</v>
      </c>
      <c r="W16" s="30">
        <f>8857060224</f>
        <v>8857060224</v>
      </c>
      <c r="X16" s="34">
        <f>20</f>
        <v>20</v>
      </c>
    </row>
    <row r="17" spans="1:24" x14ac:dyDescent="0.15">
      <c r="A17" s="25" t="s">
        <v>1041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7100</f>
        <v>7100</v>
      </c>
      <c r="L17" s="32" t="s">
        <v>904</v>
      </c>
      <c r="M17" s="31">
        <f>7742</f>
        <v>7742</v>
      </c>
      <c r="N17" s="32" t="s">
        <v>70</v>
      </c>
      <c r="O17" s="31">
        <f>7060</f>
        <v>7060</v>
      </c>
      <c r="P17" s="32" t="s">
        <v>94</v>
      </c>
      <c r="Q17" s="31">
        <f>7476</f>
        <v>7476</v>
      </c>
      <c r="R17" s="32" t="s">
        <v>934</v>
      </c>
      <c r="S17" s="33">
        <f>7473.25</f>
        <v>7473.25</v>
      </c>
      <c r="T17" s="30">
        <f>10740</f>
        <v>10740</v>
      </c>
      <c r="U17" s="30" t="str">
        <f>"－"</f>
        <v>－</v>
      </c>
      <c r="V17" s="30">
        <f>79413470</f>
        <v>79413470</v>
      </c>
      <c r="W17" s="30" t="str">
        <f>"－"</f>
        <v>－</v>
      </c>
      <c r="X17" s="34">
        <f>20</f>
        <v>20</v>
      </c>
    </row>
    <row r="18" spans="1:24" x14ac:dyDescent="0.15">
      <c r="A18" s="25" t="s">
        <v>1041</v>
      </c>
      <c r="B18" s="25" t="s">
        <v>84</v>
      </c>
      <c r="C18" s="25" t="s">
        <v>980</v>
      </c>
      <c r="D18" s="25" t="s">
        <v>981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x14ac:dyDescent="0.15">
      <c r="A19" s="25" t="s">
        <v>1041</v>
      </c>
      <c r="B19" s="25" t="s">
        <v>88</v>
      </c>
      <c r="C19" s="25" t="s">
        <v>89</v>
      </c>
      <c r="D19" s="25" t="s">
        <v>90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214</f>
        <v>214</v>
      </c>
      <c r="L19" s="32" t="s">
        <v>904</v>
      </c>
      <c r="M19" s="31">
        <f>220</f>
        <v>220</v>
      </c>
      <c r="N19" s="32" t="s">
        <v>934</v>
      </c>
      <c r="O19" s="31">
        <f>192</f>
        <v>192</v>
      </c>
      <c r="P19" s="32" t="s">
        <v>821</v>
      </c>
      <c r="Q19" s="31">
        <f>209.3</f>
        <v>209.3</v>
      </c>
      <c r="R19" s="32" t="s">
        <v>934</v>
      </c>
      <c r="S19" s="33">
        <f>206.56</f>
        <v>206.56</v>
      </c>
      <c r="T19" s="30">
        <f>1241100</f>
        <v>1241100</v>
      </c>
      <c r="U19" s="30">
        <f>200</f>
        <v>200</v>
      </c>
      <c r="V19" s="30">
        <f>255287590</f>
        <v>255287590</v>
      </c>
      <c r="W19" s="30">
        <f>43260</f>
        <v>43260</v>
      </c>
      <c r="X19" s="34">
        <f>20</f>
        <v>20</v>
      </c>
    </row>
    <row r="20" spans="1:24" x14ac:dyDescent="0.15">
      <c r="A20" s="25" t="s">
        <v>1041</v>
      </c>
      <c r="B20" s="25" t="s">
        <v>91</v>
      </c>
      <c r="C20" s="25" t="s">
        <v>92</v>
      </c>
      <c r="D20" s="25" t="s">
        <v>93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22615</f>
        <v>22615</v>
      </c>
      <c r="L20" s="32" t="s">
        <v>904</v>
      </c>
      <c r="M20" s="31">
        <f>23285</f>
        <v>23285</v>
      </c>
      <c r="N20" s="32" t="s">
        <v>905</v>
      </c>
      <c r="O20" s="31">
        <f>22470</f>
        <v>22470</v>
      </c>
      <c r="P20" s="32" t="s">
        <v>811</v>
      </c>
      <c r="Q20" s="31">
        <f>22600</f>
        <v>22600</v>
      </c>
      <c r="R20" s="32" t="s">
        <v>934</v>
      </c>
      <c r="S20" s="33">
        <f>22861.5</f>
        <v>22861.5</v>
      </c>
      <c r="T20" s="30">
        <f>101990</f>
        <v>101990</v>
      </c>
      <c r="U20" s="30">
        <f>13</f>
        <v>13</v>
      </c>
      <c r="V20" s="30">
        <f>2331895870</f>
        <v>2331895870</v>
      </c>
      <c r="W20" s="30">
        <f>305200</f>
        <v>305200</v>
      </c>
      <c r="X20" s="34">
        <f>20</f>
        <v>20</v>
      </c>
    </row>
    <row r="21" spans="1:24" x14ac:dyDescent="0.15">
      <c r="A21" s="25" t="s">
        <v>1041</v>
      </c>
      <c r="B21" s="25" t="s">
        <v>95</v>
      </c>
      <c r="C21" s="25" t="s">
        <v>96</v>
      </c>
      <c r="D21" s="25" t="s">
        <v>97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6068</f>
        <v>6068</v>
      </c>
      <c r="L21" s="32" t="s">
        <v>904</v>
      </c>
      <c r="M21" s="31">
        <f>6257</f>
        <v>6257</v>
      </c>
      <c r="N21" s="32" t="s">
        <v>905</v>
      </c>
      <c r="O21" s="31">
        <f>6030</f>
        <v>6030</v>
      </c>
      <c r="P21" s="32" t="s">
        <v>811</v>
      </c>
      <c r="Q21" s="31">
        <f>6116</f>
        <v>6116</v>
      </c>
      <c r="R21" s="32" t="s">
        <v>934</v>
      </c>
      <c r="S21" s="33">
        <f>6141</f>
        <v>6141</v>
      </c>
      <c r="T21" s="30">
        <f>124000</f>
        <v>124000</v>
      </c>
      <c r="U21" s="30">
        <f>110</f>
        <v>110</v>
      </c>
      <c r="V21" s="30">
        <f>762360010</f>
        <v>762360010</v>
      </c>
      <c r="W21" s="30">
        <f>678400</f>
        <v>678400</v>
      </c>
      <c r="X21" s="34">
        <f>20</f>
        <v>20</v>
      </c>
    </row>
    <row r="22" spans="1:24" x14ac:dyDescent="0.15">
      <c r="A22" s="25" t="s">
        <v>1041</v>
      </c>
      <c r="B22" s="25" t="s">
        <v>98</v>
      </c>
      <c r="C22" s="25" t="s">
        <v>99</v>
      </c>
      <c r="D22" s="25" t="s">
        <v>100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28680</f>
        <v>28680</v>
      </c>
      <c r="L22" s="32" t="s">
        <v>904</v>
      </c>
      <c r="M22" s="31">
        <f>29610</f>
        <v>29610</v>
      </c>
      <c r="N22" s="32" t="s">
        <v>820</v>
      </c>
      <c r="O22" s="31">
        <f>28080</f>
        <v>28080</v>
      </c>
      <c r="P22" s="32" t="s">
        <v>811</v>
      </c>
      <c r="Q22" s="31">
        <f>29060</f>
        <v>29060</v>
      </c>
      <c r="R22" s="32" t="s">
        <v>934</v>
      </c>
      <c r="S22" s="33">
        <f>28991.5</f>
        <v>28991.5</v>
      </c>
      <c r="T22" s="30">
        <f>592477</f>
        <v>592477</v>
      </c>
      <c r="U22" s="30">
        <f>180400</f>
        <v>180400</v>
      </c>
      <c r="V22" s="30">
        <f>17215027204</f>
        <v>17215027204</v>
      </c>
      <c r="W22" s="30">
        <f>5233484714</f>
        <v>5233484714</v>
      </c>
      <c r="X22" s="34">
        <f>20</f>
        <v>20</v>
      </c>
    </row>
    <row r="23" spans="1:24" x14ac:dyDescent="0.15">
      <c r="A23" s="25" t="s">
        <v>1041</v>
      </c>
      <c r="B23" s="25" t="s">
        <v>101</v>
      </c>
      <c r="C23" s="25" t="s">
        <v>102</v>
      </c>
      <c r="D23" s="25" t="s">
        <v>103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28555</f>
        <v>28555</v>
      </c>
      <c r="L23" s="32" t="s">
        <v>904</v>
      </c>
      <c r="M23" s="31">
        <f>29480</f>
        <v>29480</v>
      </c>
      <c r="N23" s="32" t="s">
        <v>820</v>
      </c>
      <c r="O23" s="31">
        <f>27955</f>
        <v>27955</v>
      </c>
      <c r="P23" s="32" t="s">
        <v>811</v>
      </c>
      <c r="Q23" s="31">
        <f>28910</f>
        <v>28910</v>
      </c>
      <c r="R23" s="32" t="s">
        <v>934</v>
      </c>
      <c r="S23" s="33">
        <f>28859.75</f>
        <v>28859.75</v>
      </c>
      <c r="T23" s="30">
        <f>629120</f>
        <v>629120</v>
      </c>
      <c r="U23" s="30">
        <f>59500</f>
        <v>59500</v>
      </c>
      <c r="V23" s="30">
        <f>18177207873</f>
        <v>18177207873</v>
      </c>
      <c r="W23" s="30">
        <f>1715463023</f>
        <v>1715463023</v>
      </c>
      <c r="X23" s="34">
        <f>20</f>
        <v>20</v>
      </c>
    </row>
    <row r="24" spans="1:24" x14ac:dyDescent="0.15">
      <c r="A24" s="25" t="s">
        <v>1041</v>
      </c>
      <c r="B24" s="25" t="s">
        <v>104</v>
      </c>
      <c r="C24" s="25" t="s">
        <v>105</v>
      </c>
      <c r="D24" s="25" t="s">
        <v>106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2137</f>
        <v>2137</v>
      </c>
      <c r="L24" s="32" t="s">
        <v>904</v>
      </c>
      <c r="M24" s="31">
        <f>2160</f>
        <v>2160</v>
      </c>
      <c r="N24" s="32" t="s">
        <v>904</v>
      </c>
      <c r="O24" s="31">
        <f>2077</f>
        <v>2077</v>
      </c>
      <c r="P24" s="32" t="s">
        <v>915</v>
      </c>
      <c r="Q24" s="31">
        <f>2108.5</f>
        <v>2108.5</v>
      </c>
      <c r="R24" s="32" t="s">
        <v>934</v>
      </c>
      <c r="S24" s="33">
        <f>2101.03</f>
        <v>2101.0300000000002</v>
      </c>
      <c r="T24" s="30">
        <f>6062110</f>
        <v>6062110</v>
      </c>
      <c r="U24" s="30">
        <f>358070</f>
        <v>358070</v>
      </c>
      <c r="V24" s="30">
        <f>12739181035</f>
        <v>12739181035</v>
      </c>
      <c r="W24" s="30">
        <f>754732365</f>
        <v>754732365</v>
      </c>
      <c r="X24" s="34">
        <f>20</f>
        <v>20</v>
      </c>
    </row>
    <row r="25" spans="1:24" x14ac:dyDescent="0.15">
      <c r="A25" s="25" t="s">
        <v>1041</v>
      </c>
      <c r="B25" s="25" t="s">
        <v>107</v>
      </c>
      <c r="C25" s="25" t="s">
        <v>108</v>
      </c>
      <c r="D25" s="25" t="s">
        <v>109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2001.5</f>
        <v>2001.5</v>
      </c>
      <c r="L25" s="32" t="s">
        <v>904</v>
      </c>
      <c r="M25" s="31">
        <f>2030</f>
        <v>2030</v>
      </c>
      <c r="N25" s="32" t="s">
        <v>909</v>
      </c>
      <c r="O25" s="31">
        <f>1950</f>
        <v>1950</v>
      </c>
      <c r="P25" s="32" t="s">
        <v>70</v>
      </c>
      <c r="Q25" s="31">
        <f>1993</f>
        <v>1993</v>
      </c>
      <c r="R25" s="32" t="s">
        <v>934</v>
      </c>
      <c r="S25" s="33">
        <f>1979.95</f>
        <v>1979.95</v>
      </c>
      <c r="T25" s="30">
        <f>922100</f>
        <v>922100</v>
      </c>
      <c r="U25" s="30">
        <f>127200</f>
        <v>127200</v>
      </c>
      <c r="V25" s="30">
        <f>1831489506</f>
        <v>1831489506</v>
      </c>
      <c r="W25" s="30">
        <f>253100606</f>
        <v>253100606</v>
      </c>
      <c r="X25" s="34">
        <f>20</f>
        <v>20</v>
      </c>
    </row>
    <row r="26" spans="1:24" x14ac:dyDescent="0.15">
      <c r="A26" s="25" t="s">
        <v>1041</v>
      </c>
      <c r="B26" s="25" t="s">
        <v>110</v>
      </c>
      <c r="C26" s="25" t="s">
        <v>111</v>
      </c>
      <c r="D26" s="25" t="s">
        <v>112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28645</f>
        <v>28645</v>
      </c>
      <c r="L26" s="32" t="s">
        <v>904</v>
      </c>
      <c r="M26" s="31">
        <f>29580</f>
        <v>29580</v>
      </c>
      <c r="N26" s="32" t="s">
        <v>820</v>
      </c>
      <c r="O26" s="31">
        <f>28050</f>
        <v>28050</v>
      </c>
      <c r="P26" s="32" t="s">
        <v>811</v>
      </c>
      <c r="Q26" s="31">
        <f>29035</f>
        <v>29035</v>
      </c>
      <c r="R26" s="32" t="s">
        <v>934</v>
      </c>
      <c r="S26" s="33">
        <f>28958.75</f>
        <v>28958.75</v>
      </c>
      <c r="T26" s="30">
        <f>279514</f>
        <v>279514</v>
      </c>
      <c r="U26" s="30">
        <f>6000</f>
        <v>6000</v>
      </c>
      <c r="V26" s="30">
        <f>8072221665</f>
        <v>8072221665</v>
      </c>
      <c r="W26" s="30">
        <f>174008800</f>
        <v>174008800</v>
      </c>
      <c r="X26" s="34">
        <f>20</f>
        <v>20</v>
      </c>
    </row>
    <row r="27" spans="1:24" x14ac:dyDescent="0.15">
      <c r="A27" s="25" t="s">
        <v>1041</v>
      </c>
      <c r="B27" s="25" t="s">
        <v>113</v>
      </c>
      <c r="C27" s="25" t="s">
        <v>114</v>
      </c>
      <c r="D27" s="25" t="s">
        <v>115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2016.5</f>
        <v>2016.5</v>
      </c>
      <c r="L27" s="32" t="s">
        <v>904</v>
      </c>
      <c r="M27" s="31">
        <f>2110.5</f>
        <v>2110.5</v>
      </c>
      <c r="N27" s="32" t="s">
        <v>820</v>
      </c>
      <c r="O27" s="31">
        <f>1989.5</f>
        <v>1989.5</v>
      </c>
      <c r="P27" s="32" t="s">
        <v>811</v>
      </c>
      <c r="Q27" s="31">
        <f>2071</f>
        <v>2071</v>
      </c>
      <c r="R27" s="32" t="s">
        <v>934</v>
      </c>
      <c r="S27" s="33">
        <f>2051.98</f>
        <v>2051.98</v>
      </c>
      <c r="T27" s="30">
        <f>3664110</f>
        <v>3664110</v>
      </c>
      <c r="U27" s="30">
        <f>1824790</f>
        <v>1824790</v>
      </c>
      <c r="V27" s="30">
        <f>7489234649</f>
        <v>7489234649</v>
      </c>
      <c r="W27" s="30">
        <f>3736991524</f>
        <v>3736991524</v>
      </c>
      <c r="X27" s="34">
        <f>20</f>
        <v>20</v>
      </c>
    </row>
    <row r="28" spans="1:24" x14ac:dyDescent="0.15">
      <c r="A28" s="25" t="s">
        <v>1041</v>
      </c>
      <c r="B28" s="25" t="s">
        <v>116</v>
      </c>
      <c r="C28" s="25" t="s">
        <v>117</v>
      </c>
      <c r="D28" s="25" t="s">
        <v>118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14660</f>
        <v>14660</v>
      </c>
      <c r="L28" s="32" t="s">
        <v>904</v>
      </c>
      <c r="M28" s="31">
        <f>14790</f>
        <v>14790</v>
      </c>
      <c r="N28" s="32" t="s">
        <v>909</v>
      </c>
      <c r="O28" s="31">
        <f>14455</f>
        <v>14455</v>
      </c>
      <c r="P28" s="32" t="s">
        <v>936</v>
      </c>
      <c r="Q28" s="31">
        <f>14580</f>
        <v>14580</v>
      </c>
      <c r="R28" s="32" t="s">
        <v>934</v>
      </c>
      <c r="S28" s="33">
        <f>14590.26</f>
        <v>14590.26</v>
      </c>
      <c r="T28" s="30">
        <f>379</f>
        <v>379</v>
      </c>
      <c r="U28" s="30" t="str">
        <f>"－"</f>
        <v>－</v>
      </c>
      <c r="V28" s="30">
        <f>5541245</f>
        <v>5541245</v>
      </c>
      <c r="W28" s="30" t="str">
        <f>"－"</f>
        <v>－</v>
      </c>
      <c r="X28" s="34">
        <f>19</f>
        <v>19</v>
      </c>
    </row>
    <row r="29" spans="1:24" x14ac:dyDescent="0.15">
      <c r="A29" s="25" t="s">
        <v>1041</v>
      </c>
      <c r="B29" s="25" t="s">
        <v>119</v>
      </c>
      <c r="C29" s="25" t="s">
        <v>120</v>
      </c>
      <c r="D29" s="25" t="s">
        <v>121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931</f>
        <v>931</v>
      </c>
      <c r="L29" s="32" t="s">
        <v>904</v>
      </c>
      <c r="M29" s="31">
        <f>957</f>
        <v>957</v>
      </c>
      <c r="N29" s="32" t="s">
        <v>811</v>
      </c>
      <c r="O29" s="31">
        <f>844.6</f>
        <v>844.6</v>
      </c>
      <c r="P29" s="32" t="s">
        <v>820</v>
      </c>
      <c r="Q29" s="31">
        <f>877.5</f>
        <v>877.5</v>
      </c>
      <c r="R29" s="32" t="s">
        <v>934</v>
      </c>
      <c r="S29" s="33">
        <f>896.28</f>
        <v>896.28</v>
      </c>
      <c r="T29" s="30">
        <f>8387890</f>
        <v>8387890</v>
      </c>
      <c r="U29" s="30">
        <f>720</f>
        <v>720</v>
      </c>
      <c r="V29" s="30">
        <f>7491435217</f>
        <v>7491435217</v>
      </c>
      <c r="W29" s="30">
        <f>645210</f>
        <v>645210</v>
      </c>
      <c r="X29" s="34">
        <f>20</f>
        <v>20</v>
      </c>
    </row>
    <row r="30" spans="1:24" x14ac:dyDescent="0.15">
      <c r="A30" s="25" t="s">
        <v>1041</v>
      </c>
      <c r="B30" s="25" t="s">
        <v>122</v>
      </c>
      <c r="C30" s="25" t="s">
        <v>123</v>
      </c>
      <c r="D30" s="25" t="s">
        <v>124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355</f>
        <v>355</v>
      </c>
      <c r="L30" s="32" t="s">
        <v>904</v>
      </c>
      <c r="M30" s="31">
        <f>371</f>
        <v>371</v>
      </c>
      <c r="N30" s="32" t="s">
        <v>811</v>
      </c>
      <c r="O30" s="31">
        <f>331</f>
        <v>331</v>
      </c>
      <c r="P30" s="32" t="s">
        <v>820</v>
      </c>
      <c r="Q30" s="31">
        <f>343</f>
        <v>343</v>
      </c>
      <c r="R30" s="32" t="s">
        <v>934</v>
      </c>
      <c r="S30" s="33">
        <f>346.5</f>
        <v>346.5</v>
      </c>
      <c r="T30" s="30">
        <f>1557526010</f>
        <v>1557526010</v>
      </c>
      <c r="U30" s="30">
        <f>3582197</f>
        <v>3582197</v>
      </c>
      <c r="V30" s="30">
        <f>539814062455</f>
        <v>539814062455</v>
      </c>
      <c r="W30" s="30">
        <f>1205713422</f>
        <v>1205713422</v>
      </c>
      <c r="X30" s="34">
        <f>20</f>
        <v>20</v>
      </c>
    </row>
    <row r="31" spans="1:24" x14ac:dyDescent="0.15">
      <c r="A31" s="25" t="s">
        <v>1041</v>
      </c>
      <c r="B31" s="25" t="s">
        <v>125</v>
      </c>
      <c r="C31" s="25" t="s">
        <v>126</v>
      </c>
      <c r="D31" s="25" t="s">
        <v>127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26575</f>
        <v>26575</v>
      </c>
      <c r="L31" s="32" t="s">
        <v>904</v>
      </c>
      <c r="M31" s="31">
        <f>28230</f>
        <v>28230</v>
      </c>
      <c r="N31" s="32" t="s">
        <v>820</v>
      </c>
      <c r="O31" s="31">
        <f>25440</f>
        <v>25440</v>
      </c>
      <c r="P31" s="32" t="s">
        <v>811</v>
      </c>
      <c r="Q31" s="31">
        <f>27175</f>
        <v>27175</v>
      </c>
      <c r="R31" s="32" t="s">
        <v>934</v>
      </c>
      <c r="S31" s="33">
        <f>27081.25</f>
        <v>27081.25</v>
      </c>
      <c r="T31" s="30">
        <f>491948</f>
        <v>491948</v>
      </c>
      <c r="U31" s="30">
        <f>16</f>
        <v>16</v>
      </c>
      <c r="V31" s="30">
        <f>13303226345</f>
        <v>13303226345</v>
      </c>
      <c r="W31" s="30">
        <f>437745</f>
        <v>437745</v>
      </c>
      <c r="X31" s="34">
        <f>20</f>
        <v>20</v>
      </c>
    </row>
    <row r="32" spans="1:24" x14ac:dyDescent="0.15">
      <c r="A32" s="25" t="s">
        <v>1041</v>
      </c>
      <c r="B32" s="25" t="s">
        <v>128</v>
      </c>
      <c r="C32" s="25" t="s">
        <v>129</v>
      </c>
      <c r="D32" s="25" t="s">
        <v>130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868.8</f>
        <v>868.8</v>
      </c>
      <c r="L32" s="32" t="s">
        <v>904</v>
      </c>
      <c r="M32" s="31">
        <f>905.3</f>
        <v>905.3</v>
      </c>
      <c r="N32" s="32" t="s">
        <v>811</v>
      </c>
      <c r="O32" s="31">
        <f>809.2</f>
        <v>809.2</v>
      </c>
      <c r="P32" s="32" t="s">
        <v>820</v>
      </c>
      <c r="Q32" s="31">
        <f>840.1</f>
        <v>840.1</v>
      </c>
      <c r="R32" s="32" t="s">
        <v>934</v>
      </c>
      <c r="S32" s="33">
        <f>846.57</f>
        <v>846.57</v>
      </c>
      <c r="T32" s="30">
        <f>272295320</f>
        <v>272295320</v>
      </c>
      <c r="U32" s="30">
        <f>802820</f>
        <v>802820</v>
      </c>
      <c r="V32" s="30">
        <f>230578579003</f>
        <v>230578579003</v>
      </c>
      <c r="W32" s="30">
        <f>695390611</f>
        <v>695390611</v>
      </c>
      <c r="X32" s="34">
        <f>20</f>
        <v>20</v>
      </c>
    </row>
    <row r="33" spans="1:24" x14ac:dyDescent="0.15">
      <c r="A33" s="25" t="s">
        <v>1041</v>
      </c>
      <c r="B33" s="25" t="s">
        <v>131</v>
      </c>
      <c r="C33" s="25" t="s">
        <v>132</v>
      </c>
      <c r="D33" s="25" t="s">
        <v>133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17855</f>
        <v>17855</v>
      </c>
      <c r="L33" s="32" t="s">
        <v>904</v>
      </c>
      <c r="M33" s="31">
        <f>18770</f>
        <v>18770</v>
      </c>
      <c r="N33" s="32" t="s">
        <v>815</v>
      </c>
      <c r="O33" s="31">
        <f>17620</f>
        <v>17620</v>
      </c>
      <c r="P33" s="32" t="s">
        <v>811</v>
      </c>
      <c r="Q33" s="31">
        <f>18390</f>
        <v>18390</v>
      </c>
      <c r="R33" s="32" t="s">
        <v>934</v>
      </c>
      <c r="S33" s="33">
        <f>18234</f>
        <v>18234</v>
      </c>
      <c r="T33" s="30">
        <f>163463</f>
        <v>163463</v>
      </c>
      <c r="U33" s="30">
        <f>161688</f>
        <v>161688</v>
      </c>
      <c r="V33" s="30">
        <f>3054173440</f>
        <v>3054173440</v>
      </c>
      <c r="W33" s="30">
        <f>3021681725</f>
        <v>3021681725</v>
      </c>
      <c r="X33" s="34">
        <f>20</f>
        <v>20</v>
      </c>
    </row>
    <row r="34" spans="1:24" x14ac:dyDescent="0.15">
      <c r="A34" s="25" t="s">
        <v>1041</v>
      </c>
      <c r="B34" s="25" t="s">
        <v>134</v>
      </c>
      <c r="C34" s="25" t="s">
        <v>135</v>
      </c>
      <c r="D34" s="25" t="s">
        <v>136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22115</f>
        <v>22115</v>
      </c>
      <c r="L34" s="32" t="s">
        <v>904</v>
      </c>
      <c r="M34" s="31">
        <f>23515</f>
        <v>23515</v>
      </c>
      <c r="N34" s="32" t="s">
        <v>820</v>
      </c>
      <c r="O34" s="31">
        <f>21175</f>
        <v>21175</v>
      </c>
      <c r="P34" s="32" t="s">
        <v>811</v>
      </c>
      <c r="Q34" s="31">
        <f>22655</f>
        <v>22655</v>
      </c>
      <c r="R34" s="32" t="s">
        <v>934</v>
      </c>
      <c r="S34" s="33">
        <f>22562.25</f>
        <v>22562.25</v>
      </c>
      <c r="T34" s="30">
        <f>915824</f>
        <v>915824</v>
      </c>
      <c r="U34" s="30" t="str">
        <f>"－"</f>
        <v>－</v>
      </c>
      <c r="V34" s="30">
        <f>20599082365</f>
        <v>20599082365</v>
      </c>
      <c r="W34" s="30" t="str">
        <f>"－"</f>
        <v>－</v>
      </c>
      <c r="X34" s="34">
        <f>20</f>
        <v>20</v>
      </c>
    </row>
    <row r="35" spans="1:24" x14ac:dyDescent="0.15">
      <c r="A35" s="25" t="s">
        <v>1041</v>
      </c>
      <c r="B35" s="25" t="s">
        <v>137</v>
      </c>
      <c r="C35" s="25" t="s">
        <v>138</v>
      </c>
      <c r="D35" s="25" t="s">
        <v>139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927</f>
        <v>927</v>
      </c>
      <c r="L35" s="32" t="s">
        <v>904</v>
      </c>
      <c r="M35" s="31">
        <f>965</f>
        <v>965</v>
      </c>
      <c r="N35" s="32" t="s">
        <v>811</v>
      </c>
      <c r="O35" s="31">
        <f>863</f>
        <v>863</v>
      </c>
      <c r="P35" s="32" t="s">
        <v>820</v>
      </c>
      <c r="Q35" s="31">
        <f>895</f>
        <v>895</v>
      </c>
      <c r="R35" s="32" t="s">
        <v>934</v>
      </c>
      <c r="S35" s="33">
        <f>902.45</f>
        <v>902.45</v>
      </c>
      <c r="T35" s="30">
        <f>22265991</f>
        <v>22265991</v>
      </c>
      <c r="U35" s="30">
        <f>21</f>
        <v>21</v>
      </c>
      <c r="V35" s="30">
        <f>20129092791</f>
        <v>20129092791</v>
      </c>
      <c r="W35" s="30">
        <f>19296</f>
        <v>19296</v>
      </c>
      <c r="X35" s="34">
        <f>20</f>
        <v>20</v>
      </c>
    </row>
    <row r="36" spans="1:24" x14ac:dyDescent="0.15">
      <c r="A36" s="25" t="s">
        <v>1041</v>
      </c>
      <c r="B36" s="25" t="s">
        <v>140</v>
      </c>
      <c r="C36" s="25" t="s">
        <v>141</v>
      </c>
      <c r="D36" s="25" t="s">
        <v>142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18620</f>
        <v>18620</v>
      </c>
      <c r="L36" s="32" t="s">
        <v>904</v>
      </c>
      <c r="M36" s="31">
        <f>20365</f>
        <v>20365</v>
      </c>
      <c r="N36" s="32" t="s">
        <v>820</v>
      </c>
      <c r="O36" s="31">
        <f>18100</f>
        <v>18100</v>
      </c>
      <c r="P36" s="32" t="s">
        <v>811</v>
      </c>
      <c r="Q36" s="31">
        <f>19575</f>
        <v>19575</v>
      </c>
      <c r="R36" s="32" t="s">
        <v>934</v>
      </c>
      <c r="S36" s="33">
        <f>19251</f>
        <v>19251</v>
      </c>
      <c r="T36" s="30">
        <f>101695</f>
        <v>101695</v>
      </c>
      <c r="U36" s="30" t="str">
        <f>"－"</f>
        <v>－</v>
      </c>
      <c r="V36" s="30">
        <f>1947508735</f>
        <v>1947508735</v>
      </c>
      <c r="W36" s="30" t="str">
        <f>"－"</f>
        <v>－</v>
      </c>
      <c r="X36" s="34">
        <f>20</f>
        <v>20</v>
      </c>
    </row>
    <row r="37" spans="1:24" x14ac:dyDescent="0.15">
      <c r="A37" s="25" t="s">
        <v>1041</v>
      </c>
      <c r="B37" s="25" t="s">
        <v>143</v>
      </c>
      <c r="C37" s="25" t="s">
        <v>144</v>
      </c>
      <c r="D37" s="25" t="s">
        <v>145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1349</f>
        <v>1349</v>
      </c>
      <c r="L37" s="32" t="s">
        <v>904</v>
      </c>
      <c r="M37" s="31">
        <f>1386</f>
        <v>1386</v>
      </c>
      <c r="N37" s="32" t="s">
        <v>811</v>
      </c>
      <c r="O37" s="31">
        <f>1224</f>
        <v>1224</v>
      </c>
      <c r="P37" s="32" t="s">
        <v>820</v>
      </c>
      <c r="Q37" s="31">
        <f>1273</f>
        <v>1273</v>
      </c>
      <c r="R37" s="32" t="s">
        <v>934</v>
      </c>
      <c r="S37" s="33">
        <f>1298.9</f>
        <v>1298.9000000000001</v>
      </c>
      <c r="T37" s="30">
        <f>812998</f>
        <v>812998</v>
      </c>
      <c r="U37" s="30" t="str">
        <f>"－"</f>
        <v>－</v>
      </c>
      <c r="V37" s="30">
        <f>1050546694</f>
        <v>1050546694</v>
      </c>
      <c r="W37" s="30" t="str">
        <f>"－"</f>
        <v>－</v>
      </c>
      <c r="X37" s="34">
        <f>20</f>
        <v>20</v>
      </c>
    </row>
    <row r="38" spans="1:24" x14ac:dyDescent="0.15">
      <c r="A38" s="25" t="s">
        <v>1041</v>
      </c>
      <c r="B38" s="25" t="s">
        <v>146</v>
      </c>
      <c r="C38" s="25" t="s">
        <v>147</v>
      </c>
      <c r="D38" s="25" t="s">
        <v>148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27820</f>
        <v>27820</v>
      </c>
      <c r="L38" s="32" t="s">
        <v>904</v>
      </c>
      <c r="M38" s="31">
        <f>28720</f>
        <v>28720</v>
      </c>
      <c r="N38" s="32" t="s">
        <v>820</v>
      </c>
      <c r="O38" s="31">
        <f>27250</f>
        <v>27250</v>
      </c>
      <c r="P38" s="32" t="s">
        <v>811</v>
      </c>
      <c r="Q38" s="31">
        <f>28190</f>
        <v>28190</v>
      </c>
      <c r="R38" s="32" t="s">
        <v>934</v>
      </c>
      <c r="S38" s="33">
        <f>28115.75</f>
        <v>28115.75</v>
      </c>
      <c r="T38" s="30">
        <f>112327</f>
        <v>112327</v>
      </c>
      <c r="U38" s="30">
        <f>62700</f>
        <v>62700</v>
      </c>
      <c r="V38" s="30">
        <f>3167619646</f>
        <v>3167619646</v>
      </c>
      <c r="W38" s="30">
        <f>1763319671</f>
        <v>1763319671</v>
      </c>
      <c r="X38" s="34">
        <f>20</f>
        <v>20</v>
      </c>
    </row>
    <row r="39" spans="1:24" x14ac:dyDescent="0.15">
      <c r="A39" s="25" t="s">
        <v>1041</v>
      </c>
      <c r="B39" s="25" t="s">
        <v>149</v>
      </c>
      <c r="C39" s="25" t="s">
        <v>150</v>
      </c>
      <c r="D39" s="25" t="s">
        <v>151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5420</f>
        <v>5420</v>
      </c>
      <c r="L39" s="32" t="s">
        <v>904</v>
      </c>
      <c r="M39" s="31">
        <f>5790</f>
        <v>5790</v>
      </c>
      <c r="N39" s="32" t="s">
        <v>908</v>
      </c>
      <c r="O39" s="31">
        <f>5270</f>
        <v>5270</v>
      </c>
      <c r="P39" s="32" t="s">
        <v>811</v>
      </c>
      <c r="Q39" s="31">
        <f>5730</f>
        <v>5730</v>
      </c>
      <c r="R39" s="32" t="s">
        <v>934</v>
      </c>
      <c r="S39" s="33">
        <f>5613.5</f>
        <v>5613.5</v>
      </c>
      <c r="T39" s="30">
        <f>6851</f>
        <v>6851</v>
      </c>
      <c r="U39" s="30" t="str">
        <f t="shared" ref="U39:U48" si="0">"－"</f>
        <v>－</v>
      </c>
      <c r="V39" s="30">
        <f>38200980</f>
        <v>38200980</v>
      </c>
      <c r="W39" s="30" t="str">
        <f t="shared" ref="W39:W48" si="1">"－"</f>
        <v>－</v>
      </c>
      <c r="X39" s="34">
        <f>20</f>
        <v>20</v>
      </c>
    </row>
    <row r="40" spans="1:24" x14ac:dyDescent="0.15">
      <c r="A40" s="25" t="s">
        <v>1041</v>
      </c>
      <c r="B40" s="25" t="s">
        <v>152</v>
      </c>
      <c r="C40" s="25" t="s">
        <v>153</v>
      </c>
      <c r="D40" s="25" t="s">
        <v>154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10080</f>
        <v>10080</v>
      </c>
      <c r="L40" s="32" t="s">
        <v>904</v>
      </c>
      <c r="M40" s="31">
        <f>10445</f>
        <v>10445</v>
      </c>
      <c r="N40" s="32" t="s">
        <v>820</v>
      </c>
      <c r="O40" s="31">
        <f>9625</f>
        <v>9625</v>
      </c>
      <c r="P40" s="32" t="s">
        <v>909</v>
      </c>
      <c r="Q40" s="31">
        <f>10395</f>
        <v>10395</v>
      </c>
      <c r="R40" s="32" t="s">
        <v>934</v>
      </c>
      <c r="S40" s="33">
        <f>10178.5</f>
        <v>10178.5</v>
      </c>
      <c r="T40" s="30">
        <f>2121</f>
        <v>2121</v>
      </c>
      <c r="U40" s="30" t="str">
        <f t="shared" si="0"/>
        <v>－</v>
      </c>
      <c r="V40" s="30">
        <f>21468963</f>
        <v>21468963</v>
      </c>
      <c r="W40" s="30" t="str">
        <f t="shared" si="1"/>
        <v>－</v>
      </c>
      <c r="X40" s="34">
        <f>20</f>
        <v>20</v>
      </c>
    </row>
    <row r="41" spans="1:24" x14ac:dyDescent="0.15">
      <c r="A41" s="25" t="s">
        <v>1041</v>
      </c>
      <c r="B41" s="25" t="s">
        <v>155</v>
      </c>
      <c r="C41" s="25" t="s">
        <v>156</v>
      </c>
      <c r="D41" s="25" t="s">
        <v>157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18110</f>
        <v>18110</v>
      </c>
      <c r="L41" s="32" t="s">
        <v>811</v>
      </c>
      <c r="M41" s="31">
        <f>19400</f>
        <v>19400</v>
      </c>
      <c r="N41" s="32" t="s">
        <v>820</v>
      </c>
      <c r="O41" s="31">
        <f>18110</f>
        <v>18110</v>
      </c>
      <c r="P41" s="32" t="s">
        <v>811</v>
      </c>
      <c r="Q41" s="31">
        <f>19150</f>
        <v>19150</v>
      </c>
      <c r="R41" s="32" t="s">
        <v>934</v>
      </c>
      <c r="S41" s="33">
        <f>18953.64</f>
        <v>18953.64</v>
      </c>
      <c r="T41" s="30">
        <f>67</f>
        <v>67</v>
      </c>
      <c r="U41" s="30" t="str">
        <f t="shared" si="0"/>
        <v>－</v>
      </c>
      <c r="V41" s="30">
        <f>1273340</f>
        <v>1273340</v>
      </c>
      <c r="W41" s="30" t="str">
        <f t="shared" si="1"/>
        <v>－</v>
      </c>
      <c r="X41" s="34">
        <f>11</f>
        <v>11</v>
      </c>
    </row>
    <row r="42" spans="1:24" x14ac:dyDescent="0.15">
      <c r="A42" s="25" t="s">
        <v>1041</v>
      </c>
      <c r="B42" s="25" t="s">
        <v>158</v>
      </c>
      <c r="C42" s="25" t="s">
        <v>159</v>
      </c>
      <c r="D42" s="25" t="s">
        <v>160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15130</f>
        <v>15130</v>
      </c>
      <c r="L42" s="32" t="s">
        <v>911</v>
      </c>
      <c r="M42" s="31">
        <f>16220</f>
        <v>16220</v>
      </c>
      <c r="N42" s="32" t="s">
        <v>819</v>
      </c>
      <c r="O42" s="31">
        <f>15125</f>
        <v>15125</v>
      </c>
      <c r="P42" s="32" t="s">
        <v>911</v>
      </c>
      <c r="Q42" s="31">
        <f>15125</f>
        <v>15125</v>
      </c>
      <c r="R42" s="32" t="s">
        <v>814</v>
      </c>
      <c r="S42" s="33">
        <f>15797.5</f>
        <v>15797.5</v>
      </c>
      <c r="T42" s="30">
        <f>15</f>
        <v>15</v>
      </c>
      <c r="U42" s="30" t="str">
        <f t="shared" si="0"/>
        <v>－</v>
      </c>
      <c r="V42" s="30">
        <f>233520</f>
        <v>233520</v>
      </c>
      <c r="W42" s="30" t="str">
        <f t="shared" si="1"/>
        <v>－</v>
      </c>
      <c r="X42" s="34">
        <f>4</f>
        <v>4</v>
      </c>
    </row>
    <row r="43" spans="1:24" x14ac:dyDescent="0.15">
      <c r="A43" s="25" t="s">
        <v>1041</v>
      </c>
      <c r="B43" s="25" t="s">
        <v>161</v>
      </c>
      <c r="C43" s="25" t="s">
        <v>162</v>
      </c>
      <c r="D43" s="25" t="s">
        <v>163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11175</f>
        <v>11175</v>
      </c>
      <c r="L43" s="32" t="s">
        <v>904</v>
      </c>
      <c r="M43" s="31">
        <f>11600</f>
        <v>11600</v>
      </c>
      <c r="N43" s="32" t="s">
        <v>94</v>
      </c>
      <c r="O43" s="31">
        <f>10905</f>
        <v>10905</v>
      </c>
      <c r="P43" s="32" t="s">
        <v>811</v>
      </c>
      <c r="Q43" s="31">
        <f>11560</f>
        <v>11560</v>
      </c>
      <c r="R43" s="32" t="s">
        <v>934</v>
      </c>
      <c r="S43" s="33">
        <f>11308.82</f>
        <v>11308.82</v>
      </c>
      <c r="T43" s="30">
        <f>646</f>
        <v>646</v>
      </c>
      <c r="U43" s="30" t="str">
        <f t="shared" si="0"/>
        <v>－</v>
      </c>
      <c r="V43" s="30">
        <f>7313145</f>
        <v>7313145</v>
      </c>
      <c r="W43" s="30" t="str">
        <f t="shared" si="1"/>
        <v>－</v>
      </c>
      <c r="X43" s="34">
        <f>17</f>
        <v>17</v>
      </c>
    </row>
    <row r="44" spans="1:24" x14ac:dyDescent="0.15">
      <c r="A44" s="25" t="s">
        <v>1041</v>
      </c>
      <c r="B44" s="25" t="s">
        <v>164</v>
      </c>
      <c r="C44" s="25" t="s">
        <v>165</v>
      </c>
      <c r="D44" s="25" t="s">
        <v>166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5500</f>
        <v>5500</v>
      </c>
      <c r="L44" s="32" t="s">
        <v>904</v>
      </c>
      <c r="M44" s="31">
        <f>5910</f>
        <v>5910</v>
      </c>
      <c r="N44" s="32" t="s">
        <v>820</v>
      </c>
      <c r="O44" s="31">
        <f>5460</f>
        <v>5460</v>
      </c>
      <c r="P44" s="32" t="s">
        <v>811</v>
      </c>
      <c r="Q44" s="31">
        <f>5850</f>
        <v>5850</v>
      </c>
      <c r="R44" s="32" t="s">
        <v>934</v>
      </c>
      <c r="S44" s="33">
        <f>5735.5</f>
        <v>5735.5</v>
      </c>
      <c r="T44" s="30">
        <f>2516</f>
        <v>2516</v>
      </c>
      <c r="U44" s="30" t="str">
        <f t="shared" si="0"/>
        <v>－</v>
      </c>
      <c r="V44" s="30">
        <f>14355880</f>
        <v>14355880</v>
      </c>
      <c r="W44" s="30" t="str">
        <f t="shared" si="1"/>
        <v>－</v>
      </c>
      <c r="X44" s="34">
        <f>20</f>
        <v>20</v>
      </c>
    </row>
    <row r="45" spans="1:24" x14ac:dyDescent="0.15">
      <c r="A45" s="25" t="s">
        <v>1041</v>
      </c>
      <c r="B45" s="25" t="s">
        <v>167</v>
      </c>
      <c r="C45" s="25" t="s">
        <v>168</v>
      </c>
      <c r="D45" s="25" t="s">
        <v>169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3120</f>
        <v>3120</v>
      </c>
      <c r="L45" s="32" t="s">
        <v>904</v>
      </c>
      <c r="M45" s="31">
        <f>3150</f>
        <v>3150</v>
      </c>
      <c r="N45" s="32" t="s">
        <v>908</v>
      </c>
      <c r="O45" s="31">
        <f>2996</f>
        <v>2996</v>
      </c>
      <c r="P45" s="32" t="s">
        <v>811</v>
      </c>
      <c r="Q45" s="31">
        <f>3105</f>
        <v>3105</v>
      </c>
      <c r="R45" s="32" t="s">
        <v>934</v>
      </c>
      <c r="S45" s="33">
        <f>3097.5</f>
        <v>3097.5</v>
      </c>
      <c r="T45" s="30">
        <f>3966</f>
        <v>3966</v>
      </c>
      <c r="U45" s="30" t="str">
        <f t="shared" si="0"/>
        <v>－</v>
      </c>
      <c r="V45" s="30">
        <f>12275574</f>
        <v>12275574</v>
      </c>
      <c r="W45" s="30" t="str">
        <f t="shared" si="1"/>
        <v>－</v>
      </c>
      <c r="X45" s="34">
        <f>20</f>
        <v>20</v>
      </c>
    </row>
    <row r="46" spans="1:24" x14ac:dyDescent="0.15">
      <c r="A46" s="25" t="s">
        <v>1041</v>
      </c>
      <c r="B46" s="25" t="s">
        <v>170</v>
      </c>
      <c r="C46" s="25" t="s">
        <v>171</v>
      </c>
      <c r="D46" s="25" t="s">
        <v>172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3060</f>
        <v>3060</v>
      </c>
      <c r="L46" s="32" t="s">
        <v>904</v>
      </c>
      <c r="M46" s="31">
        <f>3200</f>
        <v>3200</v>
      </c>
      <c r="N46" s="32" t="s">
        <v>820</v>
      </c>
      <c r="O46" s="31">
        <f>3000</f>
        <v>3000</v>
      </c>
      <c r="P46" s="32" t="s">
        <v>811</v>
      </c>
      <c r="Q46" s="31">
        <f>3170</f>
        <v>3170</v>
      </c>
      <c r="R46" s="32" t="s">
        <v>934</v>
      </c>
      <c r="S46" s="33">
        <f>3119.75</f>
        <v>3119.75</v>
      </c>
      <c r="T46" s="30">
        <f>2224</f>
        <v>2224</v>
      </c>
      <c r="U46" s="30" t="str">
        <f t="shared" si="0"/>
        <v>－</v>
      </c>
      <c r="V46" s="30">
        <f>6915250</f>
        <v>6915250</v>
      </c>
      <c r="W46" s="30" t="str">
        <f t="shared" si="1"/>
        <v>－</v>
      </c>
      <c r="X46" s="34">
        <f>20</f>
        <v>20</v>
      </c>
    </row>
    <row r="47" spans="1:24" x14ac:dyDescent="0.15">
      <c r="A47" s="25" t="s">
        <v>1041</v>
      </c>
      <c r="B47" s="25" t="s">
        <v>173</v>
      </c>
      <c r="C47" s="25" t="s">
        <v>174</v>
      </c>
      <c r="D47" s="25" t="s">
        <v>175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55450</f>
        <v>55450</v>
      </c>
      <c r="L47" s="32" t="s">
        <v>904</v>
      </c>
      <c r="M47" s="31">
        <f>55450</f>
        <v>55450</v>
      </c>
      <c r="N47" s="32" t="s">
        <v>904</v>
      </c>
      <c r="O47" s="31">
        <f>52650</f>
        <v>52650</v>
      </c>
      <c r="P47" s="32" t="s">
        <v>905</v>
      </c>
      <c r="Q47" s="31">
        <f>53430</f>
        <v>53430</v>
      </c>
      <c r="R47" s="32" t="s">
        <v>934</v>
      </c>
      <c r="S47" s="33">
        <f>53954.74</f>
        <v>53954.74</v>
      </c>
      <c r="T47" s="30">
        <f>539</f>
        <v>539</v>
      </c>
      <c r="U47" s="30" t="str">
        <f t="shared" si="0"/>
        <v>－</v>
      </c>
      <c r="V47" s="30">
        <f>29018550</f>
        <v>29018550</v>
      </c>
      <c r="W47" s="30" t="str">
        <f t="shared" si="1"/>
        <v>－</v>
      </c>
      <c r="X47" s="34">
        <f>19</f>
        <v>19</v>
      </c>
    </row>
    <row r="48" spans="1:24" x14ac:dyDescent="0.15">
      <c r="A48" s="25" t="s">
        <v>1041</v>
      </c>
      <c r="B48" s="25" t="s">
        <v>176</v>
      </c>
      <c r="C48" s="25" t="s">
        <v>177</v>
      </c>
      <c r="D48" s="25" t="s">
        <v>178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38200</f>
        <v>38200</v>
      </c>
      <c r="L48" s="32" t="s">
        <v>904</v>
      </c>
      <c r="M48" s="31">
        <f>38990</f>
        <v>38990</v>
      </c>
      <c r="N48" s="32" t="s">
        <v>815</v>
      </c>
      <c r="O48" s="31">
        <f>37510</f>
        <v>37510</v>
      </c>
      <c r="P48" s="32" t="s">
        <v>934</v>
      </c>
      <c r="Q48" s="31">
        <f>37510</f>
        <v>37510</v>
      </c>
      <c r="R48" s="32" t="s">
        <v>934</v>
      </c>
      <c r="S48" s="33">
        <f>37978.18</f>
        <v>37978.18</v>
      </c>
      <c r="T48" s="30">
        <f>54</f>
        <v>54</v>
      </c>
      <c r="U48" s="30" t="str">
        <f t="shared" si="0"/>
        <v>－</v>
      </c>
      <c r="V48" s="30">
        <f>2057840</f>
        <v>2057840</v>
      </c>
      <c r="W48" s="30" t="str">
        <f t="shared" si="1"/>
        <v>－</v>
      </c>
      <c r="X48" s="34">
        <f>11</f>
        <v>11</v>
      </c>
    </row>
    <row r="49" spans="1:24" x14ac:dyDescent="0.15">
      <c r="A49" s="25" t="s">
        <v>1041</v>
      </c>
      <c r="B49" s="25" t="s">
        <v>179</v>
      </c>
      <c r="C49" s="25" t="s">
        <v>180</v>
      </c>
      <c r="D49" s="25" t="s">
        <v>181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27870</f>
        <v>27870</v>
      </c>
      <c r="L49" s="32" t="s">
        <v>904</v>
      </c>
      <c r="M49" s="31">
        <f>28625</f>
        <v>28625</v>
      </c>
      <c r="N49" s="32" t="s">
        <v>820</v>
      </c>
      <c r="O49" s="31">
        <f>27515</f>
        <v>27515</v>
      </c>
      <c r="P49" s="32" t="s">
        <v>811</v>
      </c>
      <c r="Q49" s="31">
        <f>28280</f>
        <v>28280</v>
      </c>
      <c r="R49" s="32" t="s">
        <v>936</v>
      </c>
      <c r="S49" s="33">
        <f>28106.33</f>
        <v>28106.33</v>
      </c>
      <c r="T49" s="30">
        <f>83383</f>
        <v>83383</v>
      </c>
      <c r="U49" s="30">
        <f>75000</f>
        <v>75000</v>
      </c>
      <c r="V49" s="30">
        <f>2328133385</f>
        <v>2328133385</v>
      </c>
      <c r="W49" s="30">
        <f>2091282500</f>
        <v>2091282500</v>
      </c>
      <c r="X49" s="34">
        <f>15</f>
        <v>15</v>
      </c>
    </row>
    <row r="50" spans="1:24" x14ac:dyDescent="0.15">
      <c r="A50" s="25" t="s">
        <v>1041</v>
      </c>
      <c r="B50" s="25" t="s">
        <v>182</v>
      </c>
      <c r="C50" s="25" t="s">
        <v>183</v>
      </c>
      <c r="D50" s="25" t="s">
        <v>184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2017.5</f>
        <v>2017.5</v>
      </c>
      <c r="L50" s="32" t="s">
        <v>904</v>
      </c>
      <c r="M50" s="31">
        <f>2050.5</f>
        <v>2050.5</v>
      </c>
      <c r="N50" s="32" t="s">
        <v>909</v>
      </c>
      <c r="O50" s="31">
        <f>1980</f>
        <v>1980</v>
      </c>
      <c r="P50" s="32" t="s">
        <v>70</v>
      </c>
      <c r="Q50" s="31">
        <f>2017.5</f>
        <v>2017.5</v>
      </c>
      <c r="R50" s="32" t="s">
        <v>934</v>
      </c>
      <c r="S50" s="33">
        <f>2003.48</f>
        <v>2003.48</v>
      </c>
      <c r="T50" s="30">
        <f>842690</f>
        <v>842690</v>
      </c>
      <c r="U50" s="30">
        <f>637000</f>
        <v>637000</v>
      </c>
      <c r="V50" s="30">
        <f>1701458800</f>
        <v>1701458800</v>
      </c>
      <c r="W50" s="30">
        <f>1288675500</f>
        <v>1288675500</v>
      </c>
      <c r="X50" s="34">
        <f>20</f>
        <v>20</v>
      </c>
    </row>
    <row r="51" spans="1:24" x14ac:dyDescent="0.15">
      <c r="A51" s="25" t="s">
        <v>1041</v>
      </c>
      <c r="B51" s="25" t="s">
        <v>185</v>
      </c>
      <c r="C51" s="25" t="s">
        <v>186</v>
      </c>
      <c r="D51" s="25" t="s">
        <v>187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1619.5</f>
        <v>1619.5</v>
      </c>
      <c r="L51" s="32" t="s">
        <v>904</v>
      </c>
      <c r="M51" s="31">
        <f>1687</f>
        <v>1687</v>
      </c>
      <c r="N51" s="32" t="s">
        <v>94</v>
      </c>
      <c r="O51" s="31">
        <f>1611.5</f>
        <v>1611.5</v>
      </c>
      <c r="P51" s="32" t="s">
        <v>906</v>
      </c>
      <c r="Q51" s="31">
        <f>1663.5</f>
        <v>1663.5</v>
      </c>
      <c r="R51" s="32" t="s">
        <v>936</v>
      </c>
      <c r="S51" s="33">
        <f>1639.21</f>
        <v>1639.21</v>
      </c>
      <c r="T51" s="30">
        <f>3860</f>
        <v>3860</v>
      </c>
      <c r="U51" s="30" t="str">
        <f>"－"</f>
        <v>－</v>
      </c>
      <c r="V51" s="30">
        <f>6281490</f>
        <v>6281490</v>
      </c>
      <c r="W51" s="30" t="str">
        <f>"－"</f>
        <v>－</v>
      </c>
      <c r="X51" s="34">
        <f>17</f>
        <v>17</v>
      </c>
    </row>
    <row r="52" spans="1:24" x14ac:dyDescent="0.15">
      <c r="A52" s="25" t="s">
        <v>1041</v>
      </c>
      <c r="B52" s="25" t="s">
        <v>188</v>
      </c>
      <c r="C52" s="25" t="s">
        <v>189</v>
      </c>
      <c r="D52" s="25" t="s">
        <v>190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4110</f>
        <v>4110</v>
      </c>
      <c r="L52" s="32" t="s">
        <v>904</v>
      </c>
      <c r="M52" s="31">
        <f>4200</f>
        <v>4200</v>
      </c>
      <c r="N52" s="32" t="s">
        <v>811</v>
      </c>
      <c r="O52" s="31">
        <f>3975</f>
        <v>3975</v>
      </c>
      <c r="P52" s="32" t="s">
        <v>820</v>
      </c>
      <c r="Q52" s="31">
        <f>4050</f>
        <v>4050</v>
      </c>
      <c r="R52" s="32" t="s">
        <v>934</v>
      </c>
      <c r="S52" s="33">
        <f>4063</f>
        <v>4063</v>
      </c>
      <c r="T52" s="30">
        <f>197544</f>
        <v>197544</v>
      </c>
      <c r="U52" s="30" t="str">
        <f>"－"</f>
        <v>－</v>
      </c>
      <c r="V52" s="30">
        <f>799083630</f>
        <v>799083630</v>
      </c>
      <c r="W52" s="30" t="str">
        <f>"－"</f>
        <v>－</v>
      </c>
      <c r="X52" s="34">
        <f>20</f>
        <v>20</v>
      </c>
    </row>
    <row r="53" spans="1:24" x14ac:dyDescent="0.15">
      <c r="A53" s="25" t="s">
        <v>1041</v>
      </c>
      <c r="B53" s="25" t="s">
        <v>191</v>
      </c>
      <c r="C53" s="25" t="s">
        <v>192</v>
      </c>
      <c r="D53" s="25" t="s">
        <v>193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4880</f>
        <v>4880</v>
      </c>
      <c r="L53" s="32" t="s">
        <v>904</v>
      </c>
      <c r="M53" s="31">
        <f>4935</f>
        <v>4935</v>
      </c>
      <c r="N53" s="32" t="s">
        <v>811</v>
      </c>
      <c r="O53" s="31">
        <f>4650</f>
        <v>4650</v>
      </c>
      <c r="P53" s="32" t="s">
        <v>820</v>
      </c>
      <c r="Q53" s="31">
        <f>4735</f>
        <v>4735</v>
      </c>
      <c r="R53" s="32" t="s">
        <v>934</v>
      </c>
      <c r="S53" s="33">
        <f>4786.5</f>
        <v>4786.5</v>
      </c>
      <c r="T53" s="30">
        <f>838171</f>
        <v>838171</v>
      </c>
      <c r="U53" s="30">
        <f>774904</f>
        <v>774904</v>
      </c>
      <c r="V53" s="30">
        <f>3997390515</f>
        <v>3997390515</v>
      </c>
      <c r="W53" s="30">
        <f>3696974545</f>
        <v>3696974545</v>
      </c>
      <c r="X53" s="34">
        <f>20</f>
        <v>20</v>
      </c>
    </row>
    <row r="54" spans="1:24" x14ac:dyDescent="0.15">
      <c r="A54" s="25" t="s">
        <v>1041</v>
      </c>
      <c r="B54" s="25" t="s">
        <v>194</v>
      </c>
      <c r="C54" s="25" t="s">
        <v>195</v>
      </c>
      <c r="D54" s="25" t="s">
        <v>196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16825</f>
        <v>16825</v>
      </c>
      <c r="L54" s="32" t="s">
        <v>904</v>
      </c>
      <c r="M54" s="31">
        <f>17890</f>
        <v>17890</v>
      </c>
      <c r="N54" s="32" t="s">
        <v>820</v>
      </c>
      <c r="O54" s="31">
        <f>16110</f>
        <v>16110</v>
      </c>
      <c r="P54" s="32" t="s">
        <v>811</v>
      </c>
      <c r="Q54" s="31">
        <f>17230</f>
        <v>17230</v>
      </c>
      <c r="R54" s="32" t="s">
        <v>934</v>
      </c>
      <c r="S54" s="33">
        <f>17160.75</f>
        <v>17160.75</v>
      </c>
      <c r="T54" s="30">
        <f>16842726</f>
        <v>16842726</v>
      </c>
      <c r="U54" s="30">
        <f>19</f>
        <v>19</v>
      </c>
      <c r="V54" s="30">
        <f>288643083670</f>
        <v>288643083670</v>
      </c>
      <c r="W54" s="30">
        <f>304895</f>
        <v>304895</v>
      </c>
      <c r="X54" s="34">
        <f>20</f>
        <v>20</v>
      </c>
    </row>
    <row r="55" spans="1:24" x14ac:dyDescent="0.15">
      <c r="A55" s="25" t="s">
        <v>1041</v>
      </c>
      <c r="B55" s="25" t="s">
        <v>197</v>
      </c>
      <c r="C55" s="25" t="s">
        <v>198</v>
      </c>
      <c r="D55" s="25" t="s">
        <v>199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1427</f>
        <v>1427</v>
      </c>
      <c r="L55" s="32" t="s">
        <v>904</v>
      </c>
      <c r="M55" s="31">
        <f>1487</f>
        <v>1487</v>
      </c>
      <c r="N55" s="32" t="s">
        <v>811</v>
      </c>
      <c r="O55" s="31">
        <f>1330</f>
        <v>1330</v>
      </c>
      <c r="P55" s="32" t="s">
        <v>820</v>
      </c>
      <c r="Q55" s="31">
        <f>1381</f>
        <v>1381</v>
      </c>
      <c r="R55" s="32" t="s">
        <v>934</v>
      </c>
      <c r="S55" s="33">
        <f>1390.65</f>
        <v>1390.65</v>
      </c>
      <c r="T55" s="30">
        <f>216793587</f>
        <v>216793587</v>
      </c>
      <c r="U55" s="30">
        <f>1003622</f>
        <v>1003622</v>
      </c>
      <c r="V55" s="30">
        <f>301503344444</f>
        <v>301503344444</v>
      </c>
      <c r="W55" s="30">
        <f>1383387560</f>
        <v>1383387560</v>
      </c>
      <c r="X55" s="34">
        <f>20</f>
        <v>20</v>
      </c>
    </row>
    <row r="56" spans="1:24" x14ac:dyDescent="0.15">
      <c r="A56" s="25" t="s">
        <v>1041</v>
      </c>
      <c r="B56" s="25" t="s">
        <v>200</v>
      </c>
      <c r="C56" s="25" t="s">
        <v>201</v>
      </c>
      <c r="D56" s="25" t="s">
        <v>202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14725</f>
        <v>14725</v>
      </c>
      <c r="L56" s="32" t="s">
        <v>904</v>
      </c>
      <c r="M56" s="31">
        <f>16210</f>
        <v>16210</v>
      </c>
      <c r="N56" s="32" t="s">
        <v>820</v>
      </c>
      <c r="O56" s="31">
        <f>14340</f>
        <v>14340</v>
      </c>
      <c r="P56" s="32" t="s">
        <v>811</v>
      </c>
      <c r="Q56" s="31">
        <f>15595</f>
        <v>15595</v>
      </c>
      <c r="R56" s="32" t="s">
        <v>934</v>
      </c>
      <c r="S56" s="33">
        <f>15340</f>
        <v>15340</v>
      </c>
      <c r="T56" s="30">
        <f>1603</f>
        <v>1603</v>
      </c>
      <c r="U56" s="30" t="str">
        <f>"－"</f>
        <v>－</v>
      </c>
      <c r="V56" s="30">
        <f>24699695</f>
        <v>24699695</v>
      </c>
      <c r="W56" s="30" t="str">
        <f>"－"</f>
        <v>－</v>
      </c>
      <c r="X56" s="34">
        <f>20</f>
        <v>20</v>
      </c>
    </row>
    <row r="57" spans="1:24" x14ac:dyDescent="0.15">
      <c r="A57" s="25" t="s">
        <v>1041</v>
      </c>
      <c r="B57" s="25" t="s">
        <v>203</v>
      </c>
      <c r="C57" s="25" t="s">
        <v>204</v>
      </c>
      <c r="D57" s="25" t="s">
        <v>205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4750</f>
        <v>4750</v>
      </c>
      <c r="L57" s="32" t="s">
        <v>904</v>
      </c>
      <c r="M57" s="31">
        <f>4750</f>
        <v>4750</v>
      </c>
      <c r="N57" s="32" t="s">
        <v>904</v>
      </c>
      <c r="O57" s="31">
        <f>4460</f>
        <v>4460</v>
      </c>
      <c r="P57" s="32" t="s">
        <v>820</v>
      </c>
      <c r="Q57" s="31">
        <f>4550</f>
        <v>4550</v>
      </c>
      <c r="R57" s="32" t="s">
        <v>934</v>
      </c>
      <c r="S57" s="33">
        <f>4617.5</f>
        <v>4617.5</v>
      </c>
      <c r="T57" s="30">
        <f>359</f>
        <v>359</v>
      </c>
      <c r="U57" s="30" t="str">
        <f>"－"</f>
        <v>－</v>
      </c>
      <c r="V57" s="30">
        <f>1649960</f>
        <v>1649960</v>
      </c>
      <c r="W57" s="30" t="str">
        <f>"－"</f>
        <v>－</v>
      </c>
      <c r="X57" s="34">
        <f>12</f>
        <v>12</v>
      </c>
    </row>
    <row r="58" spans="1:24" x14ac:dyDescent="0.15">
      <c r="A58" s="25" t="s">
        <v>1041</v>
      </c>
      <c r="B58" s="25" t="s">
        <v>206</v>
      </c>
      <c r="C58" s="25" t="s">
        <v>207</v>
      </c>
      <c r="D58" s="25" t="s">
        <v>208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1761</f>
        <v>1761</v>
      </c>
      <c r="L58" s="32" t="s">
        <v>904</v>
      </c>
      <c r="M58" s="31">
        <f>1799</f>
        <v>1799</v>
      </c>
      <c r="N58" s="32" t="s">
        <v>811</v>
      </c>
      <c r="O58" s="31">
        <f>1531</f>
        <v>1531</v>
      </c>
      <c r="P58" s="32" t="s">
        <v>94</v>
      </c>
      <c r="Q58" s="31">
        <f>1631</f>
        <v>1631</v>
      </c>
      <c r="R58" s="32" t="s">
        <v>934</v>
      </c>
      <c r="S58" s="33">
        <f>1685.8</f>
        <v>1685.8</v>
      </c>
      <c r="T58" s="30">
        <f>22935</f>
        <v>22935</v>
      </c>
      <c r="U58" s="30">
        <f>5</f>
        <v>5</v>
      </c>
      <c r="V58" s="30">
        <f>38433875</f>
        <v>38433875</v>
      </c>
      <c r="W58" s="30">
        <f>8855</f>
        <v>8855</v>
      </c>
      <c r="X58" s="34">
        <f>20</f>
        <v>20</v>
      </c>
    </row>
    <row r="59" spans="1:24" x14ac:dyDescent="0.15">
      <c r="A59" s="25" t="s">
        <v>1041</v>
      </c>
      <c r="B59" s="25" t="s">
        <v>209</v>
      </c>
      <c r="C59" s="25" t="s">
        <v>210</v>
      </c>
      <c r="D59" s="25" t="s">
        <v>211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13280</f>
        <v>13280</v>
      </c>
      <c r="L59" s="32" t="s">
        <v>904</v>
      </c>
      <c r="M59" s="31">
        <f>13940</f>
        <v>13940</v>
      </c>
      <c r="N59" s="32" t="s">
        <v>821</v>
      </c>
      <c r="O59" s="31">
        <f>12220</f>
        <v>12220</v>
      </c>
      <c r="P59" s="32" t="s">
        <v>906</v>
      </c>
      <c r="Q59" s="31">
        <f>13255</f>
        <v>13255</v>
      </c>
      <c r="R59" s="32" t="s">
        <v>934</v>
      </c>
      <c r="S59" s="33">
        <f>13149</f>
        <v>13149</v>
      </c>
      <c r="T59" s="30">
        <f>5170</f>
        <v>5170</v>
      </c>
      <c r="U59" s="30" t="str">
        <f>"－"</f>
        <v>－</v>
      </c>
      <c r="V59" s="30">
        <f>67873850</f>
        <v>67873850</v>
      </c>
      <c r="W59" s="30" t="str">
        <f>"－"</f>
        <v>－</v>
      </c>
      <c r="X59" s="34">
        <f>20</f>
        <v>20</v>
      </c>
    </row>
    <row r="60" spans="1:24" x14ac:dyDescent="0.15">
      <c r="A60" s="25" t="s">
        <v>1041</v>
      </c>
      <c r="B60" s="25" t="s">
        <v>212</v>
      </c>
      <c r="C60" s="25" t="s">
        <v>213</v>
      </c>
      <c r="D60" s="25" t="s">
        <v>214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4145</f>
        <v>4145</v>
      </c>
      <c r="L60" s="32" t="s">
        <v>904</v>
      </c>
      <c r="M60" s="31">
        <f>4327</f>
        <v>4327</v>
      </c>
      <c r="N60" s="32" t="s">
        <v>811</v>
      </c>
      <c r="O60" s="31">
        <f>3915</f>
        <v>3915</v>
      </c>
      <c r="P60" s="32" t="s">
        <v>820</v>
      </c>
      <c r="Q60" s="31">
        <f>3951</f>
        <v>3951</v>
      </c>
      <c r="R60" s="32" t="s">
        <v>934</v>
      </c>
      <c r="S60" s="33">
        <f>4099.88</f>
        <v>4099.88</v>
      </c>
      <c r="T60" s="30">
        <f>190</f>
        <v>190</v>
      </c>
      <c r="U60" s="30" t="str">
        <f>"－"</f>
        <v>－</v>
      </c>
      <c r="V60" s="30">
        <f>780340</f>
        <v>780340</v>
      </c>
      <c r="W60" s="30" t="str">
        <f>"－"</f>
        <v>－</v>
      </c>
      <c r="X60" s="34">
        <f>8</f>
        <v>8</v>
      </c>
    </row>
    <row r="61" spans="1:24" x14ac:dyDescent="0.15">
      <c r="A61" s="25" t="s">
        <v>1041</v>
      </c>
      <c r="B61" s="25" t="s">
        <v>215</v>
      </c>
      <c r="C61" s="25" t="s">
        <v>216</v>
      </c>
      <c r="D61" s="25" t="s">
        <v>217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1730</f>
        <v>1730</v>
      </c>
      <c r="L61" s="32" t="s">
        <v>904</v>
      </c>
      <c r="M61" s="31">
        <f>1770.5</f>
        <v>1770.5</v>
      </c>
      <c r="N61" s="32" t="s">
        <v>811</v>
      </c>
      <c r="O61" s="31">
        <f>1550</f>
        <v>1550</v>
      </c>
      <c r="P61" s="32" t="s">
        <v>820</v>
      </c>
      <c r="Q61" s="31">
        <f>1616</f>
        <v>1616</v>
      </c>
      <c r="R61" s="32" t="s">
        <v>934</v>
      </c>
      <c r="S61" s="33">
        <f>1652.93</f>
        <v>1652.93</v>
      </c>
      <c r="T61" s="30">
        <f>61730</f>
        <v>61730</v>
      </c>
      <c r="U61" s="30" t="str">
        <f>"－"</f>
        <v>－</v>
      </c>
      <c r="V61" s="30">
        <f>101733490</f>
        <v>101733490</v>
      </c>
      <c r="W61" s="30" t="str">
        <f>"－"</f>
        <v>－</v>
      </c>
      <c r="X61" s="34">
        <f>20</f>
        <v>20</v>
      </c>
    </row>
    <row r="62" spans="1:24" x14ac:dyDescent="0.15">
      <c r="A62" s="25" t="s">
        <v>1041</v>
      </c>
      <c r="B62" s="25" t="s">
        <v>221</v>
      </c>
      <c r="C62" s="25" t="s">
        <v>222</v>
      </c>
      <c r="D62" s="25" t="s">
        <v>223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710</f>
        <v>710</v>
      </c>
      <c r="L62" s="32" t="s">
        <v>904</v>
      </c>
      <c r="M62" s="31">
        <f>730</f>
        <v>730</v>
      </c>
      <c r="N62" s="32" t="s">
        <v>811</v>
      </c>
      <c r="O62" s="31">
        <f>627</f>
        <v>627</v>
      </c>
      <c r="P62" s="32" t="s">
        <v>94</v>
      </c>
      <c r="Q62" s="31">
        <f>655</f>
        <v>655</v>
      </c>
      <c r="R62" s="32" t="s">
        <v>934</v>
      </c>
      <c r="S62" s="33">
        <f>670.6</f>
        <v>670.6</v>
      </c>
      <c r="T62" s="30">
        <f>58366</f>
        <v>58366</v>
      </c>
      <c r="U62" s="30" t="str">
        <f>"－"</f>
        <v>－</v>
      </c>
      <c r="V62" s="30">
        <f>38480594</f>
        <v>38480594</v>
      </c>
      <c r="W62" s="30" t="str">
        <f>"－"</f>
        <v>－</v>
      </c>
      <c r="X62" s="34">
        <f>20</f>
        <v>20</v>
      </c>
    </row>
    <row r="63" spans="1:24" x14ac:dyDescent="0.15">
      <c r="A63" s="25" t="s">
        <v>1041</v>
      </c>
      <c r="B63" s="25" t="s">
        <v>224</v>
      </c>
      <c r="C63" s="25" t="s">
        <v>225</v>
      </c>
      <c r="D63" s="25" t="s">
        <v>226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1977</f>
        <v>1977</v>
      </c>
      <c r="L63" s="32" t="s">
        <v>904</v>
      </c>
      <c r="M63" s="31">
        <f>2069.5</f>
        <v>2069.5</v>
      </c>
      <c r="N63" s="32" t="s">
        <v>820</v>
      </c>
      <c r="O63" s="31">
        <f>1950.5</f>
        <v>1950.5</v>
      </c>
      <c r="P63" s="32" t="s">
        <v>811</v>
      </c>
      <c r="Q63" s="31">
        <f>2031</f>
        <v>2031</v>
      </c>
      <c r="R63" s="32" t="s">
        <v>934</v>
      </c>
      <c r="S63" s="33">
        <f>2012.58</f>
        <v>2012.58</v>
      </c>
      <c r="T63" s="30">
        <f>212960</f>
        <v>212960</v>
      </c>
      <c r="U63" s="30">
        <f>98300</f>
        <v>98300</v>
      </c>
      <c r="V63" s="30">
        <f>429459755</f>
        <v>429459755</v>
      </c>
      <c r="W63" s="30">
        <f>200040500</f>
        <v>200040500</v>
      </c>
      <c r="X63" s="34">
        <f>20</f>
        <v>20</v>
      </c>
    </row>
    <row r="64" spans="1:24" x14ac:dyDescent="0.15">
      <c r="A64" s="25" t="s">
        <v>1041</v>
      </c>
      <c r="B64" s="25" t="s">
        <v>227</v>
      </c>
      <c r="C64" s="25" t="s">
        <v>228</v>
      </c>
      <c r="D64" s="25" t="s">
        <v>229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17725</f>
        <v>17725</v>
      </c>
      <c r="L64" s="32" t="s">
        <v>904</v>
      </c>
      <c r="M64" s="31">
        <f>18575</f>
        <v>18575</v>
      </c>
      <c r="N64" s="32" t="s">
        <v>820</v>
      </c>
      <c r="O64" s="31">
        <f>17485</f>
        <v>17485</v>
      </c>
      <c r="P64" s="32" t="s">
        <v>811</v>
      </c>
      <c r="Q64" s="31">
        <f>18200</f>
        <v>18200</v>
      </c>
      <c r="R64" s="32" t="s">
        <v>934</v>
      </c>
      <c r="S64" s="33">
        <f>18063.25</f>
        <v>18063.25</v>
      </c>
      <c r="T64" s="30">
        <f>716</f>
        <v>716</v>
      </c>
      <c r="U64" s="30" t="str">
        <f>"－"</f>
        <v>－</v>
      </c>
      <c r="V64" s="30">
        <f>12926820</f>
        <v>12926820</v>
      </c>
      <c r="W64" s="30" t="str">
        <f>"－"</f>
        <v>－</v>
      </c>
      <c r="X64" s="34">
        <f>20</f>
        <v>20</v>
      </c>
    </row>
    <row r="65" spans="1:24" x14ac:dyDescent="0.15">
      <c r="A65" s="25" t="s">
        <v>1041</v>
      </c>
      <c r="B65" s="25" t="s">
        <v>230</v>
      </c>
      <c r="C65" s="25" t="s">
        <v>231</v>
      </c>
      <c r="D65" s="25" t="s">
        <v>232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1989</f>
        <v>1989</v>
      </c>
      <c r="L65" s="32" t="s">
        <v>904</v>
      </c>
      <c r="M65" s="31">
        <f>2083</f>
        <v>2083</v>
      </c>
      <c r="N65" s="32" t="s">
        <v>820</v>
      </c>
      <c r="O65" s="31">
        <f>1962</f>
        <v>1962</v>
      </c>
      <c r="P65" s="32" t="s">
        <v>811</v>
      </c>
      <c r="Q65" s="31">
        <f>2041</f>
        <v>2041</v>
      </c>
      <c r="R65" s="32" t="s">
        <v>934</v>
      </c>
      <c r="S65" s="33">
        <f>2024.2</f>
        <v>2024.2</v>
      </c>
      <c r="T65" s="30">
        <f>4409254</f>
        <v>4409254</v>
      </c>
      <c r="U65" s="30">
        <f>649570</f>
        <v>649570</v>
      </c>
      <c r="V65" s="30">
        <f>8946816663</f>
        <v>8946816663</v>
      </c>
      <c r="W65" s="30">
        <f>1340150712</f>
        <v>1340150712</v>
      </c>
      <c r="X65" s="34">
        <f>20</f>
        <v>20</v>
      </c>
    </row>
    <row r="66" spans="1:24" x14ac:dyDescent="0.15">
      <c r="A66" s="25" t="s">
        <v>1041</v>
      </c>
      <c r="B66" s="25" t="s">
        <v>233</v>
      </c>
      <c r="C66" s="25" t="s">
        <v>234</v>
      </c>
      <c r="D66" s="25" t="s">
        <v>235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2046</f>
        <v>2046</v>
      </c>
      <c r="L66" s="32" t="s">
        <v>904</v>
      </c>
      <c r="M66" s="31">
        <f>2075</f>
        <v>2075</v>
      </c>
      <c r="N66" s="32" t="s">
        <v>909</v>
      </c>
      <c r="O66" s="31">
        <f>1990</f>
        <v>1990</v>
      </c>
      <c r="P66" s="32" t="s">
        <v>912</v>
      </c>
      <c r="Q66" s="31">
        <f>2023</f>
        <v>2023</v>
      </c>
      <c r="R66" s="32" t="s">
        <v>934</v>
      </c>
      <c r="S66" s="33">
        <f>2013.95</f>
        <v>2013.95</v>
      </c>
      <c r="T66" s="30">
        <f>3082619</f>
        <v>3082619</v>
      </c>
      <c r="U66" s="30">
        <f>401620</f>
        <v>401620</v>
      </c>
      <c r="V66" s="30">
        <f>6229305719</f>
        <v>6229305719</v>
      </c>
      <c r="W66" s="30">
        <f>804047054</f>
        <v>804047054</v>
      </c>
      <c r="X66" s="34">
        <f>20</f>
        <v>20</v>
      </c>
    </row>
    <row r="67" spans="1:24" x14ac:dyDescent="0.15">
      <c r="A67" s="25" t="s">
        <v>1041</v>
      </c>
      <c r="B67" s="25" t="s">
        <v>236</v>
      </c>
      <c r="C67" s="25" t="s">
        <v>237</v>
      </c>
      <c r="D67" s="25" t="s">
        <v>238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1896</f>
        <v>1896</v>
      </c>
      <c r="L67" s="32" t="s">
        <v>904</v>
      </c>
      <c r="M67" s="31">
        <f>1978</f>
        <v>1978</v>
      </c>
      <c r="N67" s="32" t="s">
        <v>820</v>
      </c>
      <c r="O67" s="31">
        <f>1862</f>
        <v>1862</v>
      </c>
      <c r="P67" s="32" t="s">
        <v>911</v>
      </c>
      <c r="Q67" s="31">
        <f>1940</f>
        <v>1940</v>
      </c>
      <c r="R67" s="32" t="s">
        <v>934</v>
      </c>
      <c r="S67" s="33">
        <f>1919.45</f>
        <v>1919.45</v>
      </c>
      <c r="T67" s="30">
        <f>302415</f>
        <v>302415</v>
      </c>
      <c r="U67" s="30">
        <f>261038</f>
        <v>261038</v>
      </c>
      <c r="V67" s="30">
        <f>588806348</f>
        <v>588806348</v>
      </c>
      <c r="W67" s="30">
        <f>509928574</f>
        <v>509928574</v>
      </c>
      <c r="X67" s="34">
        <f>20</f>
        <v>20</v>
      </c>
    </row>
    <row r="68" spans="1:24" x14ac:dyDescent="0.15">
      <c r="A68" s="25" t="s">
        <v>1041</v>
      </c>
      <c r="B68" s="25" t="s">
        <v>239</v>
      </c>
      <c r="C68" s="25" t="s">
        <v>240</v>
      </c>
      <c r="D68" s="25" t="s">
        <v>241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2408</f>
        <v>2408</v>
      </c>
      <c r="L68" s="32" t="s">
        <v>904</v>
      </c>
      <c r="M68" s="31">
        <f>2516</f>
        <v>2516</v>
      </c>
      <c r="N68" s="32" t="s">
        <v>815</v>
      </c>
      <c r="O68" s="31">
        <f>2395</f>
        <v>2395</v>
      </c>
      <c r="P68" s="32" t="s">
        <v>811</v>
      </c>
      <c r="Q68" s="31">
        <f>2482</f>
        <v>2482</v>
      </c>
      <c r="R68" s="32" t="s">
        <v>934</v>
      </c>
      <c r="S68" s="33">
        <f>2455.7</f>
        <v>2455.6999999999998</v>
      </c>
      <c r="T68" s="30">
        <f>416850</f>
        <v>416850</v>
      </c>
      <c r="U68" s="30">
        <f>262000</f>
        <v>262000</v>
      </c>
      <c r="V68" s="30">
        <f>1030643251</f>
        <v>1030643251</v>
      </c>
      <c r="W68" s="30">
        <f>650310900</f>
        <v>650310900</v>
      </c>
      <c r="X68" s="34">
        <f>20</f>
        <v>20</v>
      </c>
    </row>
    <row r="69" spans="1:24" x14ac:dyDescent="0.15">
      <c r="A69" s="25" t="s">
        <v>1041</v>
      </c>
      <c r="B69" s="25" t="s">
        <v>242</v>
      </c>
      <c r="C69" s="25" t="s">
        <v>243</v>
      </c>
      <c r="D69" s="25" t="s">
        <v>244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24240</f>
        <v>24240</v>
      </c>
      <c r="L69" s="32" t="s">
        <v>904</v>
      </c>
      <c r="M69" s="31">
        <f>25320</f>
        <v>25320</v>
      </c>
      <c r="N69" s="32" t="s">
        <v>820</v>
      </c>
      <c r="O69" s="31">
        <f>23980</f>
        <v>23980</v>
      </c>
      <c r="P69" s="32" t="s">
        <v>811</v>
      </c>
      <c r="Q69" s="31">
        <f>24750</f>
        <v>24750</v>
      </c>
      <c r="R69" s="32" t="s">
        <v>934</v>
      </c>
      <c r="S69" s="33">
        <f>24593.75</f>
        <v>24593.75</v>
      </c>
      <c r="T69" s="30">
        <f>9</f>
        <v>9</v>
      </c>
      <c r="U69" s="30" t="str">
        <f>"－"</f>
        <v>－</v>
      </c>
      <c r="V69" s="30">
        <f>220990</f>
        <v>220990</v>
      </c>
      <c r="W69" s="30" t="str">
        <f>"－"</f>
        <v>－</v>
      </c>
      <c r="X69" s="34">
        <f>8</f>
        <v>8</v>
      </c>
    </row>
    <row r="70" spans="1:24" x14ac:dyDescent="0.15">
      <c r="A70" s="25" t="s">
        <v>1041</v>
      </c>
      <c r="B70" s="25" t="s">
        <v>245</v>
      </c>
      <c r="C70" s="25" t="s">
        <v>246</v>
      </c>
      <c r="D70" s="25" t="s">
        <v>247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19415</f>
        <v>19415</v>
      </c>
      <c r="L70" s="32" t="s">
        <v>904</v>
      </c>
      <c r="M70" s="31">
        <f>20275</f>
        <v>20275</v>
      </c>
      <c r="N70" s="32" t="s">
        <v>815</v>
      </c>
      <c r="O70" s="31">
        <f>19210</f>
        <v>19210</v>
      </c>
      <c r="P70" s="32" t="s">
        <v>811</v>
      </c>
      <c r="Q70" s="31">
        <f>20275</f>
        <v>20275</v>
      </c>
      <c r="R70" s="32" t="s">
        <v>815</v>
      </c>
      <c r="S70" s="33">
        <f>19705</f>
        <v>19705</v>
      </c>
      <c r="T70" s="30">
        <f>235</f>
        <v>235</v>
      </c>
      <c r="U70" s="30" t="str">
        <f>"－"</f>
        <v>－</v>
      </c>
      <c r="V70" s="30">
        <f>4598435</f>
        <v>4598435</v>
      </c>
      <c r="W70" s="30" t="str">
        <f>"－"</f>
        <v>－</v>
      </c>
      <c r="X70" s="34">
        <f>6</f>
        <v>6</v>
      </c>
    </row>
    <row r="71" spans="1:24" x14ac:dyDescent="0.15">
      <c r="A71" s="25" t="s">
        <v>1041</v>
      </c>
      <c r="B71" s="25" t="s">
        <v>248</v>
      </c>
      <c r="C71" s="25" t="s">
        <v>249</v>
      </c>
      <c r="D71" s="25" t="s">
        <v>250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2047</f>
        <v>2047</v>
      </c>
      <c r="L71" s="32" t="s">
        <v>904</v>
      </c>
      <c r="M71" s="31">
        <f>2134</f>
        <v>2134</v>
      </c>
      <c r="N71" s="32" t="s">
        <v>820</v>
      </c>
      <c r="O71" s="31">
        <f>2005</f>
        <v>2005</v>
      </c>
      <c r="P71" s="32" t="s">
        <v>811</v>
      </c>
      <c r="Q71" s="31">
        <f>2079</f>
        <v>2079</v>
      </c>
      <c r="R71" s="32" t="s">
        <v>934</v>
      </c>
      <c r="S71" s="33">
        <f>2067.75</f>
        <v>2067.75</v>
      </c>
      <c r="T71" s="30">
        <f>6912</f>
        <v>6912</v>
      </c>
      <c r="U71" s="30" t="str">
        <f>"－"</f>
        <v>－</v>
      </c>
      <c r="V71" s="30">
        <f>13942749</f>
        <v>13942749</v>
      </c>
      <c r="W71" s="30" t="str">
        <f>"－"</f>
        <v>－</v>
      </c>
      <c r="X71" s="34">
        <f>20</f>
        <v>20</v>
      </c>
    </row>
    <row r="72" spans="1:24" x14ac:dyDescent="0.15">
      <c r="A72" s="25" t="s">
        <v>1041</v>
      </c>
      <c r="B72" s="25" t="s">
        <v>251</v>
      </c>
      <c r="C72" s="25" t="s">
        <v>252</v>
      </c>
      <c r="D72" s="25" t="s">
        <v>253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1873</f>
        <v>1873</v>
      </c>
      <c r="L72" s="32" t="s">
        <v>904</v>
      </c>
      <c r="M72" s="31">
        <f>1950</f>
        <v>1950</v>
      </c>
      <c r="N72" s="32" t="s">
        <v>94</v>
      </c>
      <c r="O72" s="31">
        <f>1845</f>
        <v>1845</v>
      </c>
      <c r="P72" s="32" t="s">
        <v>912</v>
      </c>
      <c r="Q72" s="31">
        <f>1917</f>
        <v>1917</v>
      </c>
      <c r="R72" s="32" t="s">
        <v>934</v>
      </c>
      <c r="S72" s="33">
        <f>1895.35</f>
        <v>1895.35</v>
      </c>
      <c r="T72" s="30">
        <f>2720667</f>
        <v>2720667</v>
      </c>
      <c r="U72" s="30">
        <f>1717017</f>
        <v>1717017</v>
      </c>
      <c r="V72" s="30">
        <f>5136264167</f>
        <v>5136264167</v>
      </c>
      <c r="W72" s="30">
        <f>3236017564</f>
        <v>3236017564</v>
      </c>
      <c r="X72" s="34">
        <f>20</f>
        <v>20</v>
      </c>
    </row>
    <row r="73" spans="1:24" x14ac:dyDescent="0.15">
      <c r="A73" s="25" t="s">
        <v>1041</v>
      </c>
      <c r="B73" s="25" t="s">
        <v>254</v>
      </c>
      <c r="C73" s="25" t="s">
        <v>255</v>
      </c>
      <c r="D73" s="25" t="s">
        <v>256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2103</f>
        <v>2103</v>
      </c>
      <c r="L73" s="32" t="s">
        <v>904</v>
      </c>
      <c r="M73" s="31">
        <f>2155</f>
        <v>2155</v>
      </c>
      <c r="N73" s="32" t="s">
        <v>70</v>
      </c>
      <c r="O73" s="31">
        <f>2019</f>
        <v>2019</v>
      </c>
      <c r="P73" s="32" t="s">
        <v>70</v>
      </c>
      <c r="Q73" s="31">
        <f>2065</f>
        <v>2065</v>
      </c>
      <c r="R73" s="32" t="s">
        <v>934</v>
      </c>
      <c r="S73" s="33">
        <f>2068.85</f>
        <v>2068.85</v>
      </c>
      <c r="T73" s="30">
        <f>5775</f>
        <v>5775</v>
      </c>
      <c r="U73" s="30" t="str">
        <f>"－"</f>
        <v>－</v>
      </c>
      <c r="V73" s="30">
        <f>11959657</f>
        <v>11959657</v>
      </c>
      <c r="W73" s="30" t="str">
        <f>"－"</f>
        <v>－</v>
      </c>
      <c r="X73" s="34">
        <f>20</f>
        <v>20</v>
      </c>
    </row>
    <row r="74" spans="1:24" x14ac:dyDescent="0.15">
      <c r="A74" s="25" t="s">
        <v>1041</v>
      </c>
      <c r="B74" s="25" t="s">
        <v>257</v>
      </c>
      <c r="C74" s="25" t="s">
        <v>258</v>
      </c>
      <c r="D74" s="25" t="s">
        <v>259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2011</f>
        <v>2011</v>
      </c>
      <c r="L74" s="32" t="s">
        <v>904</v>
      </c>
      <c r="M74" s="31">
        <f>2100</f>
        <v>2100</v>
      </c>
      <c r="N74" s="32" t="s">
        <v>820</v>
      </c>
      <c r="O74" s="31">
        <f>1986</f>
        <v>1986</v>
      </c>
      <c r="P74" s="32" t="s">
        <v>811</v>
      </c>
      <c r="Q74" s="31">
        <f>2054.5</f>
        <v>2054.5</v>
      </c>
      <c r="R74" s="32" t="s">
        <v>934</v>
      </c>
      <c r="S74" s="33">
        <f>2040.7</f>
        <v>2040.7</v>
      </c>
      <c r="T74" s="30">
        <f>46590</f>
        <v>46590</v>
      </c>
      <c r="U74" s="30" t="str">
        <f>"－"</f>
        <v>－</v>
      </c>
      <c r="V74" s="30">
        <f>93898990</f>
        <v>93898990</v>
      </c>
      <c r="W74" s="30" t="str">
        <f>"－"</f>
        <v>－</v>
      </c>
      <c r="X74" s="34">
        <f>20</f>
        <v>20</v>
      </c>
    </row>
    <row r="75" spans="1:24" x14ac:dyDescent="0.15">
      <c r="A75" s="25" t="s">
        <v>1041</v>
      </c>
      <c r="B75" s="25" t="s">
        <v>260</v>
      </c>
      <c r="C75" s="25" t="s">
        <v>261</v>
      </c>
      <c r="D75" s="25" t="s">
        <v>262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30810</f>
        <v>30810</v>
      </c>
      <c r="L75" s="32" t="s">
        <v>912</v>
      </c>
      <c r="M75" s="31">
        <f>32910</f>
        <v>32910</v>
      </c>
      <c r="N75" s="32" t="s">
        <v>905</v>
      </c>
      <c r="O75" s="31">
        <f>30810</f>
        <v>30810</v>
      </c>
      <c r="P75" s="32" t="s">
        <v>912</v>
      </c>
      <c r="Q75" s="31">
        <f>32210</f>
        <v>32210</v>
      </c>
      <c r="R75" s="32" t="s">
        <v>695</v>
      </c>
      <c r="S75" s="33">
        <f>31743.33</f>
        <v>31743.33</v>
      </c>
      <c r="T75" s="30">
        <f>8</f>
        <v>8</v>
      </c>
      <c r="U75" s="30" t="str">
        <f>"－"</f>
        <v>－</v>
      </c>
      <c r="V75" s="30">
        <f>256980</f>
        <v>256980</v>
      </c>
      <c r="W75" s="30" t="str">
        <f>"－"</f>
        <v>－</v>
      </c>
      <c r="X75" s="34">
        <f>3</f>
        <v>3</v>
      </c>
    </row>
    <row r="76" spans="1:24" x14ac:dyDescent="0.15">
      <c r="A76" s="25" t="s">
        <v>1041</v>
      </c>
      <c r="B76" s="25" t="s">
        <v>263</v>
      </c>
      <c r="C76" s="25" t="s">
        <v>264</v>
      </c>
      <c r="D76" s="25" t="s">
        <v>265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23215</f>
        <v>23215</v>
      </c>
      <c r="L76" s="32" t="s">
        <v>904</v>
      </c>
      <c r="M76" s="31">
        <f>23380</f>
        <v>23380</v>
      </c>
      <c r="N76" s="32" t="s">
        <v>904</v>
      </c>
      <c r="O76" s="31">
        <f>22155</f>
        <v>22155</v>
      </c>
      <c r="P76" s="32" t="s">
        <v>695</v>
      </c>
      <c r="Q76" s="31">
        <f>22355</f>
        <v>22355</v>
      </c>
      <c r="R76" s="32" t="s">
        <v>934</v>
      </c>
      <c r="S76" s="33">
        <f>22691</f>
        <v>22691</v>
      </c>
      <c r="T76" s="30">
        <f>521046</f>
        <v>521046</v>
      </c>
      <c r="U76" s="30">
        <f>485773</f>
        <v>485773</v>
      </c>
      <c r="V76" s="30">
        <f>11687426455</f>
        <v>11687426455</v>
      </c>
      <c r="W76" s="30">
        <f>10890938575</f>
        <v>10890938575</v>
      </c>
      <c r="X76" s="34">
        <f>20</f>
        <v>20</v>
      </c>
    </row>
    <row r="77" spans="1:24" x14ac:dyDescent="0.15">
      <c r="A77" s="25" t="s">
        <v>1041</v>
      </c>
      <c r="B77" s="25" t="s">
        <v>267</v>
      </c>
      <c r="C77" s="25" t="s">
        <v>268</v>
      </c>
      <c r="D77" s="25" t="s">
        <v>269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14525</f>
        <v>14525</v>
      </c>
      <c r="L77" s="32" t="s">
        <v>904</v>
      </c>
      <c r="M77" s="31">
        <f>15100</f>
        <v>15100</v>
      </c>
      <c r="N77" s="32" t="s">
        <v>94</v>
      </c>
      <c r="O77" s="31">
        <f>14300</f>
        <v>14300</v>
      </c>
      <c r="P77" s="32" t="s">
        <v>912</v>
      </c>
      <c r="Q77" s="31">
        <f>14855</f>
        <v>14855</v>
      </c>
      <c r="R77" s="32" t="s">
        <v>934</v>
      </c>
      <c r="S77" s="33">
        <f>14691</f>
        <v>14691</v>
      </c>
      <c r="T77" s="30">
        <f>244352</f>
        <v>244352</v>
      </c>
      <c r="U77" s="30">
        <f>167949</f>
        <v>167949</v>
      </c>
      <c r="V77" s="30">
        <f>3534276461</f>
        <v>3534276461</v>
      </c>
      <c r="W77" s="30">
        <f>2420541041</f>
        <v>2420541041</v>
      </c>
      <c r="X77" s="34">
        <f>20</f>
        <v>20</v>
      </c>
    </row>
    <row r="78" spans="1:24" x14ac:dyDescent="0.15">
      <c r="A78" s="25" t="s">
        <v>1041</v>
      </c>
      <c r="B78" s="25" t="s">
        <v>270</v>
      </c>
      <c r="C78" s="25" t="s">
        <v>271</v>
      </c>
      <c r="D78" s="25" t="s">
        <v>272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2035.5</f>
        <v>2035.5</v>
      </c>
      <c r="L78" s="32" t="s">
        <v>904</v>
      </c>
      <c r="M78" s="31">
        <f>2063</f>
        <v>2063</v>
      </c>
      <c r="N78" s="32" t="s">
        <v>909</v>
      </c>
      <c r="O78" s="31">
        <f>1990</f>
        <v>1990</v>
      </c>
      <c r="P78" s="32" t="s">
        <v>70</v>
      </c>
      <c r="Q78" s="31">
        <f>2034</f>
        <v>2034</v>
      </c>
      <c r="R78" s="32" t="s">
        <v>934</v>
      </c>
      <c r="S78" s="33">
        <f>2019.5</f>
        <v>2019.5</v>
      </c>
      <c r="T78" s="30">
        <f>2278250</f>
        <v>2278250</v>
      </c>
      <c r="U78" s="30">
        <f>1600200</f>
        <v>1600200</v>
      </c>
      <c r="V78" s="30">
        <f>4592238047</f>
        <v>4592238047</v>
      </c>
      <c r="W78" s="30">
        <f>3225233937</f>
        <v>3225233937</v>
      </c>
      <c r="X78" s="34">
        <f>20</f>
        <v>20</v>
      </c>
    </row>
    <row r="79" spans="1:24" x14ac:dyDescent="0.15">
      <c r="A79" s="25" t="s">
        <v>1041</v>
      </c>
      <c r="B79" s="25" t="s">
        <v>273</v>
      </c>
      <c r="C79" s="25" t="s">
        <v>274</v>
      </c>
      <c r="D79" s="25" t="s">
        <v>275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40450</f>
        <v>40450</v>
      </c>
      <c r="L79" s="32" t="s">
        <v>904</v>
      </c>
      <c r="M79" s="31">
        <f>43350</f>
        <v>43350</v>
      </c>
      <c r="N79" s="32" t="s">
        <v>94</v>
      </c>
      <c r="O79" s="31">
        <f>40390</f>
        <v>40390</v>
      </c>
      <c r="P79" s="32" t="s">
        <v>904</v>
      </c>
      <c r="Q79" s="31">
        <f>43000</f>
        <v>43000</v>
      </c>
      <c r="R79" s="32" t="s">
        <v>934</v>
      </c>
      <c r="S79" s="33">
        <f>41878.5</f>
        <v>41878.5</v>
      </c>
      <c r="T79" s="30">
        <f>98315</f>
        <v>98315</v>
      </c>
      <c r="U79" s="30">
        <f>16846</f>
        <v>16846</v>
      </c>
      <c r="V79" s="30">
        <f>4116417515</f>
        <v>4116417515</v>
      </c>
      <c r="W79" s="30">
        <f>702932755</f>
        <v>702932755</v>
      </c>
      <c r="X79" s="34">
        <f>20</f>
        <v>20</v>
      </c>
    </row>
    <row r="80" spans="1:24" x14ac:dyDescent="0.15">
      <c r="A80" s="25" t="s">
        <v>1041</v>
      </c>
      <c r="B80" s="25" t="s">
        <v>276</v>
      </c>
      <c r="C80" s="25" t="s">
        <v>277</v>
      </c>
      <c r="D80" s="25" t="s">
        <v>278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7629</f>
        <v>7629</v>
      </c>
      <c r="L80" s="32" t="s">
        <v>821</v>
      </c>
      <c r="M80" s="31">
        <f>7696</f>
        <v>7696</v>
      </c>
      <c r="N80" s="32" t="s">
        <v>66</v>
      </c>
      <c r="O80" s="31">
        <f>7623</f>
        <v>7623</v>
      </c>
      <c r="P80" s="32" t="s">
        <v>906</v>
      </c>
      <c r="Q80" s="31">
        <f>7696</f>
        <v>7696</v>
      </c>
      <c r="R80" s="32" t="s">
        <v>66</v>
      </c>
      <c r="S80" s="33">
        <f>7654.75</f>
        <v>7654.75</v>
      </c>
      <c r="T80" s="30">
        <f>40</f>
        <v>40</v>
      </c>
      <c r="U80" s="30" t="str">
        <f>"－"</f>
        <v>－</v>
      </c>
      <c r="V80" s="30">
        <f>306190</f>
        <v>306190</v>
      </c>
      <c r="W80" s="30" t="str">
        <f>"－"</f>
        <v>－</v>
      </c>
      <c r="X80" s="34">
        <f>4</f>
        <v>4</v>
      </c>
    </row>
    <row r="81" spans="1:24" x14ac:dyDescent="0.15">
      <c r="A81" s="25" t="s">
        <v>1041</v>
      </c>
      <c r="B81" s="25" t="s">
        <v>279</v>
      </c>
      <c r="C81" s="25" t="s">
        <v>280</v>
      </c>
      <c r="D81" s="25" t="s">
        <v>281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15790</f>
        <v>15790</v>
      </c>
      <c r="L81" s="32" t="s">
        <v>904</v>
      </c>
      <c r="M81" s="31">
        <f>16690</f>
        <v>16690</v>
      </c>
      <c r="N81" s="32" t="s">
        <v>94</v>
      </c>
      <c r="O81" s="31">
        <f>15520</f>
        <v>15520</v>
      </c>
      <c r="P81" s="32" t="s">
        <v>70</v>
      </c>
      <c r="Q81" s="31">
        <f>16165</f>
        <v>16165</v>
      </c>
      <c r="R81" s="32" t="s">
        <v>934</v>
      </c>
      <c r="S81" s="33">
        <f>15978.25</f>
        <v>15978.25</v>
      </c>
      <c r="T81" s="30">
        <f>1030</f>
        <v>1030</v>
      </c>
      <c r="U81" s="30" t="str">
        <f>"－"</f>
        <v>－</v>
      </c>
      <c r="V81" s="30">
        <f>16536215</f>
        <v>16536215</v>
      </c>
      <c r="W81" s="30" t="str">
        <f>"－"</f>
        <v>－</v>
      </c>
      <c r="X81" s="34">
        <f>20</f>
        <v>20</v>
      </c>
    </row>
    <row r="82" spans="1:24" x14ac:dyDescent="0.15">
      <c r="A82" s="25" t="s">
        <v>1041</v>
      </c>
      <c r="B82" s="25" t="s">
        <v>282</v>
      </c>
      <c r="C82" s="25" t="s">
        <v>283</v>
      </c>
      <c r="D82" s="25" t="s">
        <v>284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15710</f>
        <v>15710</v>
      </c>
      <c r="L82" s="32" t="s">
        <v>904</v>
      </c>
      <c r="M82" s="31">
        <f>16450</f>
        <v>16450</v>
      </c>
      <c r="N82" s="32" t="s">
        <v>94</v>
      </c>
      <c r="O82" s="31">
        <f>15305</f>
        <v>15305</v>
      </c>
      <c r="P82" s="32" t="s">
        <v>811</v>
      </c>
      <c r="Q82" s="31">
        <f>16070</f>
        <v>16070</v>
      </c>
      <c r="R82" s="32" t="s">
        <v>934</v>
      </c>
      <c r="S82" s="33">
        <f>15884.5</f>
        <v>15884.5</v>
      </c>
      <c r="T82" s="30">
        <f>1362</f>
        <v>1362</v>
      </c>
      <c r="U82" s="30" t="str">
        <f>"－"</f>
        <v>－</v>
      </c>
      <c r="V82" s="30">
        <f>21910260</f>
        <v>21910260</v>
      </c>
      <c r="W82" s="30" t="str">
        <f>"－"</f>
        <v>－</v>
      </c>
      <c r="X82" s="34">
        <f>20</f>
        <v>20</v>
      </c>
    </row>
    <row r="83" spans="1:24" x14ac:dyDescent="0.15">
      <c r="A83" s="25" t="s">
        <v>1041</v>
      </c>
      <c r="B83" s="25" t="s">
        <v>285</v>
      </c>
      <c r="C83" s="25" t="s">
        <v>286</v>
      </c>
      <c r="D83" s="25" t="s">
        <v>287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20050</f>
        <v>20050</v>
      </c>
      <c r="L83" s="32" t="s">
        <v>904</v>
      </c>
      <c r="M83" s="31">
        <f>21190</f>
        <v>21190</v>
      </c>
      <c r="N83" s="32" t="s">
        <v>94</v>
      </c>
      <c r="O83" s="31">
        <f>19870</f>
        <v>19870</v>
      </c>
      <c r="P83" s="32" t="s">
        <v>811</v>
      </c>
      <c r="Q83" s="31">
        <f>20750</f>
        <v>20750</v>
      </c>
      <c r="R83" s="32" t="s">
        <v>934</v>
      </c>
      <c r="S83" s="33">
        <f>20357.25</f>
        <v>20357.25</v>
      </c>
      <c r="T83" s="30">
        <f>3627</f>
        <v>3627</v>
      </c>
      <c r="U83" s="30">
        <f>3</f>
        <v>3</v>
      </c>
      <c r="V83" s="30">
        <f>73776160</f>
        <v>73776160</v>
      </c>
      <c r="W83" s="30">
        <f>61960</f>
        <v>61960</v>
      </c>
      <c r="X83" s="34">
        <f>20</f>
        <v>20</v>
      </c>
    </row>
    <row r="84" spans="1:24" x14ac:dyDescent="0.15">
      <c r="A84" s="25" t="s">
        <v>1041</v>
      </c>
      <c r="B84" s="25" t="s">
        <v>288</v>
      </c>
      <c r="C84" s="25" t="s">
        <v>289</v>
      </c>
      <c r="D84" s="25" t="s">
        <v>290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10370</f>
        <v>10370</v>
      </c>
      <c r="L84" s="32" t="s">
        <v>904</v>
      </c>
      <c r="M84" s="31">
        <f>10715</f>
        <v>10715</v>
      </c>
      <c r="N84" s="32" t="s">
        <v>66</v>
      </c>
      <c r="O84" s="31">
        <f>10225</f>
        <v>10225</v>
      </c>
      <c r="P84" s="32" t="s">
        <v>94</v>
      </c>
      <c r="Q84" s="31">
        <f>10350</f>
        <v>10350</v>
      </c>
      <c r="R84" s="32" t="s">
        <v>934</v>
      </c>
      <c r="S84" s="33">
        <f>10465.25</f>
        <v>10465.25</v>
      </c>
      <c r="T84" s="30">
        <f>49040</f>
        <v>49040</v>
      </c>
      <c r="U84" s="30">
        <f>40020</f>
        <v>40020</v>
      </c>
      <c r="V84" s="30">
        <f>508495880</f>
        <v>508495880</v>
      </c>
      <c r="W84" s="30">
        <f>414552530</f>
        <v>414552530</v>
      </c>
      <c r="X84" s="34">
        <f>20</f>
        <v>20</v>
      </c>
    </row>
    <row r="85" spans="1:24" x14ac:dyDescent="0.15">
      <c r="A85" s="25" t="s">
        <v>1041</v>
      </c>
      <c r="B85" s="25" t="s">
        <v>291</v>
      </c>
      <c r="C85" s="25" t="s">
        <v>292</v>
      </c>
      <c r="D85" s="25" t="s">
        <v>293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1899</f>
        <v>1899</v>
      </c>
      <c r="L85" s="32" t="s">
        <v>904</v>
      </c>
      <c r="M85" s="31">
        <f>2024</f>
        <v>2024</v>
      </c>
      <c r="N85" s="32" t="s">
        <v>936</v>
      </c>
      <c r="O85" s="31">
        <f>1890</f>
        <v>1890</v>
      </c>
      <c r="P85" s="32" t="s">
        <v>912</v>
      </c>
      <c r="Q85" s="31">
        <f>1990</f>
        <v>1990</v>
      </c>
      <c r="R85" s="32" t="s">
        <v>934</v>
      </c>
      <c r="S85" s="33">
        <f>1955.85</f>
        <v>1955.85</v>
      </c>
      <c r="T85" s="30">
        <f>228950</f>
        <v>228950</v>
      </c>
      <c r="U85" s="30">
        <f>52662</f>
        <v>52662</v>
      </c>
      <c r="V85" s="30">
        <f>443103013</f>
        <v>443103013</v>
      </c>
      <c r="W85" s="30">
        <f>99902520</f>
        <v>99902520</v>
      </c>
      <c r="X85" s="34">
        <f>20</f>
        <v>20</v>
      </c>
    </row>
    <row r="86" spans="1:24" x14ac:dyDescent="0.15">
      <c r="A86" s="25" t="s">
        <v>1041</v>
      </c>
      <c r="B86" s="25" t="s">
        <v>294</v>
      </c>
      <c r="C86" s="25" t="s">
        <v>295</v>
      </c>
      <c r="D86" s="25" t="s">
        <v>296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1945</f>
        <v>1945</v>
      </c>
      <c r="L86" s="32" t="s">
        <v>904</v>
      </c>
      <c r="M86" s="31">
        <f>1981</f>
        <v>1981</v>
      </c>
      <c r="N86" s="32" t="s">
        <v>815</v>
      </c>
      <c r="O86" s="31">
        <f>1888</f>
        <v>1888</v>
      </c>
      <c r="P86" s="32" t="s">
        <v>905</v>
      </c>
      <c r="Q86" s="31">
        <f>1956</f>
        <v>1956</v>
      </c>
      <c r="R86" s="32" t="s">
        <v>934</v>
      </c>
      <c r="S86" s="33">
        <f>1940.95</f>
        <v>1940.95</v>
      </c>
      <c r="T86" s="30">
        <f>277098</f>
        <v>277098</v>
      </c>
      <c r="U86" s="30">
        <f>123</f>
        <v>123</v>
      </c>
      <c r="V86" s="30">
        <f>537280185</f>
        <v>537280185</v>
      </c>
      <c r="W86" s="30">
        <f>216849</f>
        <v>216849</v>
      </c>
      <c r="X86" s="34">
        <f>20</f>
        <v>20</v>
      </c>
    </row>
    <row r="87" spans="1:24" x14ac:dyDescent="0.15">
      <c r="A87" s="25" t="s">
        <v>1041</v>
      </c>
      <c r="B87" s="25" t="s">
        <v>297</v>
      </c>
      <c r="C87" s="25" t="s">
        <v>298</v>
      </c>
      <c r="D87" s="25" t="s">
        <v>299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14795</f>
        <v>14795</v>
      </c>
      <c r="L87" s="32" t="s">
        <v>904</v>
      </c>
      <c r="M87" s="31">
        <f>15505</f>
        <v>15505</v>
      </c>
      <c r="N87" s="32" t="s">
        <v>820</v>
      </c>
      <c r="O87" s="31">
        <f>14660</f>
        <v>14660</v>
      </c>
      <c r="P87" s="32" t="s">
        <v>811</v>
      </c>
      <c r="Q87" s="31">
        <f>15225</f>
        <v>15225</v>
      </c>
      <c r="R87" s="32" t="s">
        <v>934</v>
      </c>
      <c r="S87" s="33">
        <f>15095</f>
        <v>15095</v>
      </c>
      <c r="T87" s="30">
        <f>1709</f>
        <v>1709</v>
      </c>
      <c r="U87" s="30" t="str">
        <f>"－"</f>
        <v>－</v>
      </c>
      <c r="V87" s="30">
        <f>25736355</f>
        <v>25736355</v>
      </c>
      <c r="W87" s="30" t="str">
        <f>"－"</f>
        <v>－</v>
      </c>
      <c r="X87" s="34">
        <f>20</f>
        <v>20</v>
      </c>
    </row>
    <row r="88" spans="1:24" x14ac:dyDescent="0.15">
      <c r="A88" s="25" t="s">
        <v>1041</v>
      </c>
      <c r="B88" s="25" t="s">
        <v>300</v>
      </c>
      <c r="C88" s="25" t="s">
        <v>301</v>
      </c>
      <c r="D88" s="25" t="s">
        <v>302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8890</f>
        <v>8890</v>
      </c>
      <c r="L88" s="32" t="s">
        <v>904</v>
      </c>
      <c r="M88" s="31">
        <f>9100</f>
        <v>9100</v>
      </c>
      <c r="N88" s="32" t="s">
        <v>815</v>
      </c>
      <c r="O88" s="31">
        <f>8840</f>
        <v>8840</v>
      </c>
      <c r="P88" s="32" t="s">
        <v>695</v>
      </c>
      <c r="Q88" s="31">
        <f>9020</f>
        <v>9020</v>
      </c>
      <c r="R88" s="32" t="s">
        <v>934</v>
      </c>
      <c r="S88" s="33">
        <f>8947.4</f>
        <v>8947.4</v>
      </c>
      <c r="T88" s="30">
        <f>1146</f>
        <v>1146</v>
      </c>
      <c r="U88" s="30">
        <f>1</f>
        <v>1</v>
      </c>
      <c r="V88" s="30">
        <f>10243099</f>
        <v>10243099</v>
      </c>
      <c r="W88" s="30">
        <f>9020</f>
        <v>9020</v>
      </c>
      <c r="X88" s="34">
        <f>20</f>
        <v>20</v>
      </c>
    </row>
    <row r="89" spans="1:24" x14ac:dyDescent="0.15">
      <c r="A89" s="25" t="s">
        <v>1041</v>
      </c>
      <c r="B89" s="25" t="s">
        <v>303</v>
      </c>
      <c r="C89" s="25" t="s">
        <v>304</v>
      </c>
      <c r="D89" s="25" t="s">
        <v>305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7421</f>
        <v>7421</v>
      </c>
      <c r="L89" s="32" t="s">
        <v>904</v>
      </c>
      <c r="M89" s="31">
        <f>7628</f>
        <v>7628</v>
      </c>
      <c r="N89" s="32" t="s">
        <v>905</v>
      </c>
      <c r="O89" s="31">
        <f>7386</f>
        <v>7386</v>
      </c>
      <c r="P89" s="32" t="s">
        <v>811</v>
      </c>
      <c r="Q89" s="31">
        <f>7436</f>
        <v>7436</v>
      </c>
      <c r="R89" s="32" t="s">
        <v>934</v>
      </c>
      <c r="S89" s="33">
        <f>7506.65</f>
        <v>7506.65</v>
      </c>
      <c r="T89" s="30">
        <f>2481655</f>
        <v>2481655</v>
      </c>
      <c r="U89" s="30">
        <f>841804</f>
        <v>841804</v>
      </c>
      <c r="V89" s="30">
        <f>18726073123</f>
        <v>18726073123</v>
      </c>
      <c r="W89" s="30">
        <f>6422973399</f>
        <v>6422973399</v>
      </c>
      <c r="X89" s="34">
        <f>20</f>
        <v>20</v>
      </c>
    </row>
    <row r="90" spans="1:24" x14ac:dyDescent="0.15">
      <c r="A90" s="25" t="s">
        <v>1041</v>
      </c>
      <c r="B90" s="25" t="s">
        <v>306</v>
      </c>
      <c r="C90" s="25" t="s">
        <v>307</v>
      </c>
      <c r="D90" s="25" t="s">
        <v>308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4020</f>
        <v>4020</v>
      </c>
      <c r="L90" s="32" t="s">
        <v>904</v>
      </c>
      <c r="M90" s="31">
        <f>4300</f>
        <v>4300</v>
      </c>
      <c r="N90" s="32" t="s">
        <v>821</v>
      </c>
      <c r="O90" s="31">
        <f>4005</f>
        <v>4005</v>
      </c>
      <c r="P90" s="32" t="s">
        <v>811</v>
      </c>
      <c r="Q90" s="31">
        <f>4135</f>
        <v>4135</v>
      </c>
      <c r="R90" s="32" t="s">
        <v>934</v>
      </c>
      <c r="S90" s="33">
        <f>4127</f>
        <v>4127</v>
      </c>
      <c r="T90" s="30">
        <f>587636</f>
        <v>587636</v>
      </c>
      <c r="U90" s="30">
        <f>20</f>
        <v>20</v>
      </c>
      <c r="V90" s="30">
        <f>2437930140</f>
        <v>2437930140</v>
      </c>
      <c r="W90" s="30">
        <f>83000</f>
        <v>83000</v>
      </c>
      <c r="X90" s="34">
        <f>20</f>
        <v>20</v>
      </c>
    </row>
    <row r="91" spans="1:24" x14ac:dyDescent="0.15">
      <c r="A91" s="25" t="s">
        <v>1041</v>
      </c>
      <c r="B91" s="25" t="s">
        <v>309</v>
      </c>
      <c r="C91" s="25" t="s">
        <v>310</v>
      </c>
      <c r="D91" s="25" t="s">
        <v>311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8371</f>
        <v>8371</v>
      </c>
      <c r="L91" s="32" t="s">
        <v>904</v>
      </c>
      <c r="M91" s="31">
        <f>9046</f>
        <v>9046</v>
      </c>
      <c r="N91" s="32" t="s">
        <v>911</v>
      </c>
      <c r="O91" s="31">
        <f>8356</f>
        <v>8356</v>
      </c>
      <c r="P91" s="32" t="s">
        <v>904</v>
      </c>
      <c r="Q91" s="31">
        <f>8630</f>
        <v>8630</v>
      </c>
      <c r="R91" s="32" t="s">
        <v>934</v>
      </c>
      <c r="S91" s="33">
        <f>8740.6</f>
        <v>8740.6</v>
      </c>
      <c r="T91" s="30">
        <f>203846</f>
        <v>203846</v>
      </c>
      <c r="U91" s="30" t="str">
        <f>"－"</f>
        <v>－</v>
      </c>
      <c r="V91" s="30">
        <f>1784825215</f>
        <v>1784825215</v>
      </c>
      <c r="W91" s="30" t="str">
        <f>"－"</f>
        <v>－</v>
      </c>
      <c r="X91" s="34">
        <f>20</f>
        <v>20</v>
      </c>
    </row>
    <row r="92" spans="1:24" x14ac:dyDescent="0.15">
      <c r="A92" s="25" t="s">
        <v>1041</v>
      </c>
      <c r="B92" s="25" t="s">
        <v>312</v>
      </c>
      <c r="C92" s="25" t="s">
        <v>313</v>
      </c>
      <c r="D92" s="25" t="s">
        <v>314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82500</f>
        <v>82500</v>
      </c>
      <c r="L92" s="32" t="s">
        <v>904</v>
      </c>
      <c r="M92" s="31">
        <f>86100</f>
        <v>86100</v>
      </c>
      <c r="N92" s="32" t="s">
        <v>906</v>
      </c>
      <c r="O92" s="31">
        <f>77400</f>
        <v>77400</v>
      </c>
      <c r="P92" s="32" t="s">
        <v>934</v>
      </c>
      <c r="Q92" s="31">
        <f>77770</f>
        <v>77770</v>
      </c>
      <c r="R92" s="32" t="s">
        <v>934</v>
      </c>
      <c r="S92" s="33">
        <f>81757</f>
        <v>81757</v>
      </c>
      <c r="T92" s="30">
        <f>8325</f>
        <v>8325</v>
      </c>
      <c r="U92" s="30">
        <f>5</f>
        <v>5</v>
      </c>
      <c r="V92" s="30">
        <f>680725560</f>
        <v>680725560</v>
      </c>
      <c r="W92" s="30">
        <f>400800</f>
        <v>400800</v>
      </c>
      <c r="X92" s="34">
        <f>20</f>
        <v>20</v>
      </c>
    </row>
    <row r="93" spans="1:24" x14ac:dyDescent="0.15">
      <c r="A93" s="25" t="s">
        <v>1041</v>
      </c>
      <c r="B93" s="25" t="s">
        <v>315</v>
      </c>
      <c r="C93" s="25" t="s">
        <v>940</v>
      </c>
      <c r="D93" s="25" t="s">
        <v>941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17235</f>
        <v>17235</v>
      </c>
      <c r="L93" s="32" t="s">
        <v>904</v>
      </c>
      <c r="M93" s="31">
        <f>17270</f>
        <v>17270</v>
      </c>
      <c r="N93" s="32" t="s">
        <v>904</v>
      </c>
      <c r="O93" s="31">
        <f>16020</f>
        <v>16020</v>
      </c>
      <c r="P93" s="32" t="s">
        <v>70</v>
      </c>
      <c r="Q93" s="31">
        <f>16175</f>
        <v>16175</v>
      </c>
      <c r="R93" s="32" t="s">
        <v>934</v>
      </c>
      <c r="S93" s="33">
        <f>16550</f>
        <v>16550</v>
      </c>
      <c r="T93" s="30">
        <f>1441117</f>
        <v>1441117</v>
      </c>
      <c r="U93" s="30">
        <f>37500</f>
        <v>37500</v>
      </c>
      <c r="V93" s="30">
        <f>23756445632</f>
        <v>23756445632</v>
      </c>
      <c r="W93" s="30">
        <f>609615802</f>
        <v>609615802</v>
      </c>
      <c r="X93" s="34">
        <f>20</f>
        <v>20</v>
      </c>
    </row>
    <row r="94" spans="1:24" x14ac:dyDescent="0.15">
      <c r="A94" s="25" t="s">
        <v>1041</v>
      </c>
      <c r="B94" s="25" t="s">
        <v>318</v>
      </c>
      <c r="C94" s="25" t="s">
        <v>942</v>
      </c>
      <c r="D94" s="25" t="s">
        <v>943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47410</f>
        <v>47410</v>
      </c>
      <c r="L94" s="32" t="s">
        <v>904</v>
      </c>
      <c r="M94" s="31">
        <f>47450</f>
        <v>47450</v>
      </c>
      <c r="N94" s="32" t="s">
        <v>904</v>
      </c>
      <c r="O94" s="31">
        <f>45340</f>
        <v>45340</v>
      </c>
      <c r="P94" s="32" t="s">
        <v>906</v>
      </c>
      <c r="Q94" s="31">
        <f>45670</f>
        <v>45670</v>
      </c>
      <c r="R94" s="32" t="s">
        <v>934</v>
      </c>
      <c r="S94" s="33">
        <f>46239.5</f>
        <v>46239.5</v>
      </c>
      <c r="T94" s="30">
        <f>144285</f>
        <v>144285</v>
      </c>
      <c r="U94" s="30">
        <f>12500</f>
        <v>12500</v>
      </c>
      <c r="V94" s="30">
        <f>6673883866</f>
        <v>6673883866</v>
      </c>
      <c r="W94" s="30">
        <f>574649786</f>
        <v>574649786</v>
      </c>
      <c r="X94" s="34">
        <f>20</f>
        <v>20</v>
      </c>
    </row>
    <row r="95" spans="1:24" x14ac:dyDescent="0.15">
      <c r="A95" s="25" t="s">
        <v>1041</v>
      </c>
      <c r="B95" s="25" t="s">
        <v>321</v>
      </c>
      <c r="C95" s="25" t="s">
        <v>322</v>
      </c>
      <c r="D95" s="25" t="s">
        <v>323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6307</f>
        <v>6307</v>
      </c>
      <c r="L95" s="32" t="s">
        <v>904</v>
      </c>
      <c r="M95" s="31">
        <f>6318</f>
        <v>6318</v>
      </c>
      <c r="N95" s="32" t="s">
        <v>904</v>
      </c>
      <c r="O95" s="31">
        <f>6000</f>
        <v>6000</v>
      </c>
      <c r="P95" s="32" t="s">
        <v>905</v>
      </c>
      <c r="Q95" s="31">
        <f>6011</f>
        <v>6011</v>
      </c>
      <c r="R95" s="32" t="s">
        <v>934</v>
      </c>
      <c r="S95" s="33">
        <f>6101.6</f>
        <v>6101.6</v>
      </c>
      <c r="T95" s="30">
        <f>2477960</f>
        <v>2477960</v>
      </c>
      <c r="U95" s="30">
        <f>1012000</f>
        <v>1012000</v>
      </c>
      <c r="V95" s="30">
        <f>15272115181</f>
        <v>15272115181</v>
      </c>
      <c r="W95" s="30">
        <f>6343668891</f>
        <v>6343668891</v>
      </c>
      <c r="X95" s="34">
        <f>20</f>
        <v>20</v>
      </c>
    </row>
    <row r="96" spans="1:24" x14ac:dyDescent="0.15">
      <c r="A96" s="25" t="s">
        <v>1041</v>
      </c>
      <c r="B96" s="25" t="s">
        <v>324</v>
      </c>
      <c r="C96" s="25" t="s">
        <v>325</v>
      </c>
      <c r="D96" s="25" t="s">
        <v>326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3930</f>
        <v>3930</v>
      </c>
      <c r="L96" s="32" t="s">
        <v>904</v>
      </c>
      <c r="M96" s="31">
        <f>3947</f>
        <v>3947</v>
      </c>
      <c r="N96" s="32" t="s">
        <v>904</v>
      </c>
      <c r="O96" s="31">
        <f>3778</f>
        <v>3778</v>
      </c>
      <c r="P96" s="32" t="s">
        <v>811</v>
      </c>
      <c r="Q96" s="31">
        <f>3830</f>
        <v>3830</v>
      </c>
      <c r="R96" s="32" t="s">
        <v>934</v>
      </c>
      <c r="S96" s="33">
        <f>3859.95</f>
        <v>3859.95</v>
      </c>
      <c r="T96" s="30">
        <f>67540</f>
        <v>67540</v>
      </c>
      <c r="U96" s="30">
        <f>130</f>
        <v>130</v>
      </c>
      <c r="V96" s="30">
        <f>261107540</f>
        <v>261107540</v>
      </c>
      <c r="W96" s="30">
        <f>497700</f>
        <v>497700</v>
      </c>
      <c r="X96" s="34">
        <f>20</f>
        <v>20</v>
      </c>
    </row>
    <row r="97" spans="1:24" x14ac:dyDescent="0.15">
      <c r="A97" s="25" t="s">
        <v>1041</v>
      </c>
      <c r="B97" s="25" t="s">
        <v>327</v>
      </c>
      <c r="C97" s="25" t="s">
        <v>1037</v>
      </c>
      <c r="D97" s="25" t="s">
        <v>1038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4255</f>
        <v>4255</v>
      </c>
      <c r="L97" s="32" t="s">
        <v>904</v>
      </c>
      <c r="M97" s="31">
        <f>4459</f>
        <v>4459</v>
      </c>
      <c r="N97" s="32" t="s">
        <v>94</v>
      </c>
      <c r="O97" s="31">
        <f>4207</f>
        <v>4207</v>
      </c>
      <c r="P97" s="32" t="s">
        <v>811</v>
      </c>
      <c r="Q97" s="31">
        <f>4360</f>
        <v>4360</v>
      </c>
      <c r="R97" s="32" t="s">
        <v>934</v>
      </c>
      <c r="S97" s="33">
        <f>4335.6</f>
        <v>4335.6000000000004</v>
      </c>
      <c r="T97" s="30">
        <f>6050</f>
        <v>6050</v>
      </c>
      <c r="U97" s="30" t="str">
        <f>"－"</f>
        <v>－</v>
      </c>
      <c r="V97" s="30">
        <f>26235780</f>
        <v>26235780</v>
      </c>
      <c r="W97" s="30" t="str">
        <f>"－"</f>
        <v>－</v>
      </c>
      <c r="X97" s="34">
        <f>20</f>
        <v>20</v>
      </c>
    </row>
    <row r="98" spans="1:24" x14ac:dyDescent="0.15">
      <c r="A98" s="25" t="s">
        <v>1041</v>
      </c>
      <c r="B98" s="25" t="s">
        <v>330</v>
      </c>
      <c r="C98" s="25" t="s">
        <v>331</v>
      </c>
      <c r="D98" s="25" t="s">
        <v>332</v>
      </c>
      <c r="E98" s="26" t="s">
        <v>45</v>
      </c>
      <c r="F98" s="27" t="s">
        <v>45</v>
      </c>
      <c r="G98" s="28" t="s">
        <v>45</v>
      </c>
      <c r="H98" s="29" t="s">
        <v>333</v>
      </c>
      <c r="I98" s="29" t="s">
        <v>46</v>
      </c>
      <c r="J98" s="30">
        <v>1</v>
      </c>
      <c r="K98" s="31">
        <f>2099</f>
        <v>2099</v>
      </c>
      <c r="L98" s="32" t="s">
        <v>904</v>
      </c>
      <c r="M98" s="31">
        <f>2123</f>
        <v>2123</v>
      </c>
      <c r="N98" s="32" t="s">
        <v>905</v>
      </c>
      <c r="O98" s="31">
        <f>1682</f>
        <v>1682</v>
      </c>
      <c r="P98" s="32" t="s">
        <v>815</v>
      </c>
      <c r="Q98" s="31">
        <f>1712</f>
        <v>1712</v>
      </c>
      <c r="R98" s="32" t="s">
        <v>934</v>
      </c>
      <c r="S98" s="33">
        <f>1905.7</f>
        <v>1905.7</v>
      </c>
      <c r="T98" s="30">
        <f>34778311</f>
        <v>34778311</v>
      </c>
      <c r="U98" s="30">
        <f>50835</f>
        <v>50835</v>
      </c>
      <c r="V98" s="30">
        <f>64652999039</f>
        <v>64652999039</v>
      </c>
      <c r="W98" s="30">
        <f>101549078</f>
        <v>101549078</v>
      </c>
      <c r="X98" s="34">
        <f>20</f>
        <v>20</v>
      </c>
    </row>
    <row r="99" spans="1:24" x14ac:dyDescent="0.15">
      <c r="A99" s="25" t="s">
        <v>1041</v>
      </c>
      <c r="B99" s="25" t="s">
        <v>334</v>
      </c>
      <c r="C99" s="25" t="s">
        <v>335</v>
      </c>
      <c r="D99" s="25" t="s">
        <v>336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3297</f>
        <v>3297</v>
      </c>
      <c r="L99" s="32" t="s">
        <v>904</v>
      </c>
      <c r="M99" s="31">
        <f>3320</f>
        <v>3320</v>
      </c>
      <c r="N99" s="32" t="s">
        <v>909</v>
      </c>
      <c r="O99" s="31">
        <f>3187</f>
        <v>3187</v>
      </c>
      <c r="P99" s="32" t="s">
        <v>811</v>
      </c>
      <c r="Q99" s="31">
        <f>3239</f>
        <v>3239</v>
      </c>
      <c r="R99" s="32" t="s">
        <v>934</v>
      </c>
      <c r="S99" s="33">
        <f>3259.65</f>
        <v>3259.65</v>
      </c>
      <c r="T99" s="30">
        <f>77330</f>
        <v>77330</v>
      </c>
      <c r="U99" s="30" t="str">
        <f>"－"</f>
        <v>－</v>
      </c>
      <c r="V99" s="30">
        <f>251378710</f>
        <v>251378710</v>
      </c>
      <c r="W99" s="30" t="str">
        <f>"－"</f>
        <v>－</v>
      </c>
      <c r="X99" s="34">
        <f>20</f>
        <v>20</v>
      </c>
    </row>
    <row r="100" spans="1:24" x14ac:dyDescent="0.15">
      <c r="A100" s="25" t="s">
        <v>1041</v>
      </c>
      <c r="B100" s="25" t="s">
        <v>337</v>
      </c>
      <c r="C100" s="25" t="s">
        <v>338</v>
      </c>
      <c r="D100" s="25" t="s">
        <v>339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1687</f>
        <v>1687</v>
      </c>
      <c r="L100" s="32" t="s">
        <v>904</v>
      </c>
      <c r="M100" s="31">
        <f>1736</f>
        <v>1736</v>
      </c>
      <c r="N100" s="32" t="s">
        <v>934</v>
      </c>
      <c r="O100" s="31">
        <f>1630.5</f>
        <v>1630.5</v>
      </c>
      <c r="P100" s="32" t="s">
        <v>811</v>
      </c>
      <c r="Q100" s="31">
        <f>1733</f>
        <v>1733</v>
      </c>
      <c r="R100" s="32" t="s">
        <v>934</v>
      </c>
      <c r="S100" s="33">
        <f>1693.45</f>
        <v>1693.45</v>
      </c>
      <c r="T100" s="30">
        <f>217070</f>
        <v>217070</v>
      </c>
      <c r="U100" s="30">
        <f>100000</f>
        <v>100000</v>
      </c>
      <c r="V100" s="30">
        <f>373700240</f>
        <v>373700240</v>
      </c>
      <c r="W100" s="30">
        <f>174640000</f>
        <v>174640000</v>
      </c>
      <c r="X100" s="34">
        <f>20</f>
        <v>20</v>
      </c>
    </row>
    <row r="101" spans="1:24" x14ac:dyDescent="0.15">
      <c r="A101" s="25" t="s">
        <v>1041</v>
      </c>
      <c r="B101" s="25" t="s">
        <v>340</v>
      </c>
      <c r="C101" s="25" t="s">
        <v>341</v>
      </c>
      <c r="D101" s="25" t="s">
        <v>342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57530</f>
        <v>57530</v>
      </c>
      <c r="L101" s="32" t="s">
        <v>904</v>
      </c>
      <c r="M101" s="31">
        <f>57630</f>
        <v>57630</v>
      </c>
      <c r="N101" s="32" t="s">
        <v>904</v>
      </c>
      <c r="O101" s="31">
        <f>54750</f>
        <v>54750</v>
      </c>
      <c r="P101" s="32" t="s">
        <v>905</v>
      </c>
      <c r="Q101" s="31">
        <f>54800</f>
        <v>54800</v>
      </c>
      <c r="R101" s="32" t="s">
        <v>934</v>
      </c>
      <c r="S101" s="33">
        <f>55645.5</f>
        <v>55645.5</v>
      </c>
      <c r="T101" s="30">
        <f>121215</f>
        <v>121215</v>
      </c>
      <c r="U101" s="30">
        <f>8484</f>
        <v>8484</v>
      </c>
      <c r="V101" s="30">
        <f>6739308457</f>
        <v>6739308457</v>
      </c>
      <c r="W101" s="30">
        <f>471151947</f>
        <v>471151947</v>
      </c>
      <c r="X101" s="34">
        <f>20</f>
        <v>20</v>
      </c>
    </row>
    <row r="102" spans="1:24" x14ac:dyDescent="0.15">
      <c r="A102" s="25" t="s">
        <v>1041</v>
      </c>
      <c r="B102" s="25" t="s">
        <v>343</v>
      </c>
      <c r="C102" s="25" t="s">
        <v>344</v>
      </c>
      <c r="D102" s="25" t="s">
        <v>345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3195</f>
        <v>3195</v>
      </c>
      <c r="L102" s="32" t="s">
        <v>904</v>
      </c>
      <c r="M102" s="31">
        <f>3490</f>
        <v>3490</v>
      </c>
      <c r="N102" s="32" t="s">
        <v>94</v>
      </c>
      <c r="O102" s="31">
        <f>3145</f>
        <v>3145</v>
      </c>
      <c r="P102" s="32" t="s">
        <v>909</v>
      </c>
      <c r="Q102" s="31">
        <f>3370</f>
        <v>3370</v>
      </c>
      <c r="R102" s="32" t="s">
        <v>934</v>
      </c>
      <c r="S102" s="33">
        <f>3297.25</f>
        <v>3297.25</v>
      </c>
      <c r="T102" s="30">
        <f>18528</f>
        <v>18528</v>
      </c>
      <c r="U102" s="30" t="str">
        <f>"－"</f>
        <v>－</v>
      </c>
      <c r="V102" s="30">
        <f>61529320</f>
        <v>61529320</v>
      </c>
      <c r="W102" s="30" t="str">
        <f>"－"</f>
        <v>－</v>
      </c>
      <c r="X102" s="34">
        <f>20</f>
        <v>20</v>
      </c>
    </row>
    <row r="103" spans="1:24" x14ac:dyDescent="0.15">
      <c r="A103" s="25" t="s">
        <v>1041</v>
      </c>
      <c r="B103" s="25" t="s">
        <v>346</v>
      </c>
      <c r="C103" s="25" t="s">
        <v>347</v>
      </c>
      <c r="D103" s="25" t="s">
        <v>348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4240</f>
        <v>4240</v>
      </c>
      <c r="L103" s="32" t="s">
        <v>904</v>
      </c>
      <c r="M103" s="31">
        <f>4495</f>
        <v>4495</v>
      </c>
      <c r="N103" s="32" t="s">
        <v>94</v>
      </c>
      <c r="O103" s="31">
        <f>4125</f>
        <v>4125</v>
      </c>
      <c r="P103" s="32" t="s">
        <v>66</v>
      </c>
      <c r="Q103" s="31">
        <f>4400</f>
        <v>4400</v>
      </c>
      <c r="R103" s="32" t="s">
        <v>934</v>
      </c>
      <c r="S103" s="33">
        <f>4249</f>
        <v>4249</v>
      </c>
      <c r="T103" s="30">
        <f>6690</f>
        <v>6690</v>
      </c>
      <c r="U103" s="30" t="str">
        <f>"－"</f>
        <v>－</v>
      </c>
      <c r="V103" s="30">
        <f>28962355</f>
        <v>28962355</v>
      </c>
      <c r="W103" s="30" t="str">
        <f>"－"</f>
        <v>－</v>
      </c>
      <c r="X103" s="34">
        <f>20</f>
        <v>20</v>
      </c>
    </row>
    <row r="104" spans="1:24" x14ac:dyDescent="0.15">
      <c r="A104" s="25" t="s">
        <v>1041</v>
      </c>
      <c r="B104" s="25" t="s">
        <v>349</v>
      </c>
      <c r="C104" s="25" t="s">
        <v>1039</v>
      </c>
      <c r="D104" s="25" t="s">
        <v>1040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2335</f>
        <v>2335</v>
      </c>
      <c r="L104" s="32" t="s">
        <v>904</v>
      </c>
      <c r="M104" s="31">
        <f>2630</f>
        <v>2630</v>
      </c>
      <c r="N104" s="32" t="s">
        <v>94</v>
      </c>
      <c r="O104" s="31">
        <f>2316</f>
        <v>2316</v>
      </c>
      <c r="P104" s="32" t="s">
        <v>811</v>
      </c>
      <c r="Q104" s="31">
        <f>2587</f>
        <v>2587</v>
      </c>
      <c r="R104" s="32" t="s">
        <v>934</v>
      </c>
      <c r="S104" s="33">
        <f>2487.15</f>
        <v>2487.15</v>
      </c>
      <c r="T104" s="30">
        <f>614193</f>
        <v>614193</v>
      </c>
      <c r="U104" s="30" t="str">
        <f>"－"</f>
        <v>－</v>
      </c>
      <c r="V104" s="30">
        <f>1534001081</f>
        <v>1534001081</v>
      </c>
      <c r="W104" s="30" t="str">
        <f>"－"</f>
        <v>－</v>
      </c>
      <c r="X104" s="34">
        <f>20</f>
        <v>20</v>
      </c>
    </row>
    <row r="105" spans="1:24" x14ac:dyDescent="0.15">
      <c r="A105" s="25" t="s">
        <v>1041</v>
      </c>
      <c r="B105" s="25" t="s">
        <v>352</v>
      </c>
      <c r="C105" s="25" t="s">
        <v>353</v>
      </c>
      <c r="D105" s="25" t="s">
        <v>354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43610</f>
        <v>43610</v>
      </c>
      <c r="L105" s="32" t="s">
        <v>904</v>
      </c>
      <c r="M105" s="31">
        <f>43990</f>
        <v>43990</v>
      </c>
      <c r="N105" s="32" t="s">
        <v>70</v>
      </c>
      <c r="O105" s="31">
        <f>42900</f>
        <v>42900</v>
      </c>
      <c r="P105" s="32" t="s">
        <v>814</v>
      </c>
      <c r="Q105" s="31">
        <f>43260</f>
        <v>43260</v>
      </c>
      <c r="R105" s="32" t="s">
        <v>934</v>
      </c>
      <c r="S105" s="33">
        <f>43374.5</f>
        <v>43374.5</v>
      </c>
      <c r="T105" s="30">
        <f>23201</f>
        <v>23201</v>
      </c>
      <c r="U105" s="30">
        <f>11776</f>
        <v>11776</v>
      </c>
      <c r="V105" s="30">
        <f>1002501729</f>
        <v>1002501729</v>
      </c>
      <c r="W105" s="30">
        <f>506468779</f>
        <v>506468779</v>
      </c>
      <c r="X105" s="34">
        <f>20</f>
        <v>20</v>
      </c>
    </row>
    <row r="106" spans="1:24" x14ac:dyDescent="0.15">
      <c r="A106" s="25" t="s">
        <v>1041</v>
      </c>
      <c r="B106" s="25" t="s">
        <v>355</v>
      </c>
      <c r="C106" s="25" t="s">
        <v>356</v>
      </c>
      <c r="D106" s="25" t="s">
        <v>357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23965</f>
        <v>23965</v>
      </c>
      <c r="L106" s="32" t="s">
        <v>904</v>
      </c>
      <c r="M106" s="31">
        <f>26200</f>
        <v>26200</v>
      </c>
      <c r="N106" s="32" t="s">
        <v>820</v>
      </c>
      <c r="O106" s="31">
        <f>23290</f>
        <v>23290</v>
      </c>
      <c r="P106" s="32" t="s">
        <v>811</v>
      </c>
      <c r="Q106" s="31">
        <f>25140</f>
        <v>25140</v>
      </c>
      <c r="R106" s="32" t="s">
        <v>934</v>
      </c>
      <c r="S106" s="33">
        <f>24762.5</f>
        <v>24762.5</v>
      </c>
      <c r="T106" s="30">
        <f>2017520</f>
        <v>2017520</v>
      </c>
      <c r="U106" s="30">
        <f>260</f>
        <v>260</v>
      </c>
      <c r="V106" s="30">
        <f>50055127300</f>
        <v>50055127300</v>
      </c>
      <c r="W106" s="30">
        <f>6501600</f>
        <v>6501600</v>
      </c>
      <c r="X106" s="34">
        <f>20</f>
        <v>20</v>
      </c>
    </row>
    <row r="107" spans="1:24" x14ac:dyDescent="0.15">
      <c r="A107" s="25" t="s">
        <v>1041</v>
      </c>
      <c r="B107" s="25" t="s">
        <v>358</v>
      </c>
      <c r="C107" s="25" t="s">
        <v>359</v>
      </c>
      <c r="D107" s="25" t="s">
        <v>360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2043</f>
        <v>2043</v>
      </c>
      <c r="L107" s="32" t="s">
        <v>904</v>
      </c>
      <c r="M107" s="31">
        <f>2069.5</f>
        <v>2069.5</v>
      </c>
      <c r="N107" s="32" t="s">
        <v>811</v>
      </c>
      <c r="O107" s="31">
        <f>1945</f>
        <v>1945</v>
      </c>
      <c r="P107" s="32" t="s">
        <v>820</v>
      </c>
      <c r="Q107" s="31">
        <f>1984.5</f>
        <v>1984.5</v>
      </c>
      <c r="R107" s="32" t="s">
        <v>934</v>
      </c>
      <c r="S107" s="33">
        <f>2003.35</f>
        <v>2003.35</v>
      </c>
      <c r="T107" s="30">
        <f>91270</f>
        <v>91270</v>
      </c>
      <c r="U107" s="30" t="str">
        <f>"－"</f>
        <v>－</v>
      </c>
      <c r="V107" s="30">
        <f>182117800</f>
        <v>182117800</v>
      </c>
      <c r="W107" s="30" t="str">
        <f>"－"</f>
        <v>－</v>
      </c>
      <c r="X107" s="34">
        <f>20</f>
        <v>20</v>
      </c>
    </row>
    <row r="108" spans="1:24" x14ac:dyDescent="0.15">
      <c r="A108" s="25" t="s">
        <v>1041</v>
      </c>
      <c r="B108" s="25" t="s">
        <v>361</v>
      </c>
      <c r="C108" s="25" t="s">
        <v>362</v>
      </c>
      <c r="D108" s="25" t="s">
        <v>363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14320</f>
        <v>14320</v>
      </c>
      <c r="L108" s="32" t="s">
        <v>904</v>
      </c>
      <c r="M108" s="31">
        <f>15220</f>
        <v>15220</v>
      </c>
      <c r="N108" s="32" t="s">
        <v>820</v>
      </c>
      <c r="O108" s="31">
        <f>13710</f>
        <v>13710</v>
      </c>
      <c r="P108" s="32" t="s">
        <v>811</v>
      </c>
      <c r="Q108" s="31">
        <f>14665</f>
        <v>14665</v>
      </c>
      <c r="R108" s="32" t="s">
        <v>934</v>
      </c>
      <c r="S108" s="33">
        <f>14601</f>
        <v>14601</v>
      </c>
      <c r="T108" s="30">
        <f>181268312</f>
        <v>181268312</v>
      </c>
      <c r="U108" s="30">
        <f>1037079</f>
        <v>1037079</v>
      </c>
      <c r="V108" s="30">
        <f>2643088820826</f>
        <v>2643088820826</v>
      </c>
      <c r="W108" s="30">
        <f>15615551836</f>
        <v>15615551836</v>
      </c>
      <c r="X108" s="34">
        <f>20</f>
        <v>20</v>
      </c>
    </row>
    <row r="109" spans="1:24" x14ac:dyDescent="0.15">
      <c r="A109" s="25" t="s">
        <v>1041</v>
      </c>
      <c r="B109" s="25" t="s">
        <v>364</v>
      </c>
      <c r="C109" s="25" t="s">
        <v>365</v>
      </c>
      <c r="D109" s="25" t="s">
        <v>366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958</f>
        <v>958</v>
      </c>
      <c r="L109" s="32" t="s">
        <v>904</v>
      </c>
      <c r="M109" s="31">
        <f>979</f>
        <v>979</v>
      </c>
      <c r="N109" s="32" t="s">
        <v>811</v>
      </c>
      <c r="O109" s="31">
        <f>926</f>
        <v>926</v>
      </c>
      <c r="P109" s="32" t="s">
        <v>820</v>
      </c>
      <c r="Q109" s="31">
        <f>943</f>
        <v>943</v>
      </c>
      <c r="R109" s="32" t="s">
        <v>934</v>
      </c>
      <c r="S109" s="33">
        <f>947.15</f>
        <v>947.15</v>
      </c>
      <c r="T109" s="30">
        <f>30980333</f>
        <v>30980333</v>
      </c>
      <c r="U109" s="30">
        <f>3100000</f>
        <v>3100000</v>
      </c>
      <c r="V109" s="30">
        <f>29456303753</f>
        <v>29456303753</v>
      </c>
      <c r="W109" s="30">
        <f>2973677000</f>
        <v>2973677000</v>
      </c>
      <c r="X109" s="34">
        <f>20</f>
        <v>20</v>
      </c>
    </row>
    <row r="110" spans="1:24" x14ac:dyDescent="0.15">
      <c r="A110" s="25" t="s">
        <v>1041</v>
      </c>
      <c r="B110" s="25" t="s">
        <v>367</v>
      </c>
      <c r="C110" s="25" t="s">
        <v>368</v>
      </c>
      <c r="D110" s="25" t="s">
        <v>369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3111</f>
        <v>3111</v>
      </c>
      <c r="L110" s="32" t="s">
        <v>904</v>
      </c>
      <c r="M110" s="31">
        <f>4467</f>
        <v>4467</v>
      </c>
      <c r="N110" s="32" t="s">
        <v>906</v>
      </c>
      <c r="O110" s="31">
        <f>3020</f>
        <v>3020</v>
      </c>
      <c r="P110" s="32" t="s">
        <v>904</v>
      </c>
      <c r="Q110" s="31">
        <f>4354</f>
        <v>4354</v>
      </c>
      <c r="R110" s="32" t="s">
        <v>934</v>
      </c>
      <c r="S110" s="33">
        <f>3950.15</f>
        <v>3950.15</v>
      </c>
      <c r="T110" s="30">
        <f>676710</f>
        <v>676710</v>
      </c>
      <c r="U110" s="30">
        <f>40</f>
        <v>40</v>
      </c>
      <c r="V110" s="30">
        <f>2635313490</f>
        <v>2635313490</v>
      </c>
      <c r="W110" s="30">
        <f>175280</f>
        <v>175280</v>
      </c>
      <c r="X110" s="34">
        <f>20</f>
        <v>20</v>
      </c>
    </row>
    <row r="111" spans="1:24" x14ac:dyDescent="0.15">
      <c r="A111" s="25" t="s">
        <v>1041</v>
      </c>
      <c r="B111" s="25" t="s">
        <v>370</v>
      </c>
      <c r="C111" s="25" t="s">
        <v>371</v>
      </c>
      <c r="D111" s="25" t="s">
        <v>372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15985</f>
        <v>15985</v>
      </c>
      <c r="L111" s="32" t="s">
        <v>904</v>
      </c>
      <c r="M111" s="31">
        <f>15995</f>
        <v>15995</v>
      </c>
      <c r="N111" s="32" t="s">
        <v>904</v>
      </c>
      <c r="O111" s="31">
        <f>11495</f>
        <v>11495</v>
      </c>
      <c r="P111" s="32" t="s">
        <v>906</v>
      </c>
      <c r="Q111" s="31">
        <f>11820</f>
        <v>11820</v>
      </c>
      <c r="R111" s="32" t="s">
        <v>934</v>
      </c>
      <c r="S111" s="33">
        <f>12865.25</f>
        <v>12865.25</v>
      </c>
      <c r="T111" s="30">
        <f>89110</f>
        <v>89110</v>
      </c>
      <c r="U111" s="30" t="str">
        <f>"－"</f>
        <v>－</v>
      </c>
      <c r="V111" s="30">
        <f>1168501750</f>
        <v>1168501750</v>
      </c>
      <c r="W111" s="30" t="str">
        <f>"－"</f>
        <v>－</v>
      </c>
      <c r="X111" s="34">
        <f>20</f>
        <v>20</v>
      </c>
    </row>
    <row r="112" spans="1:24" x14ac:dyDescent="0.15">
      <c r="A112" s="25" t="s">
        <v>1041</v>
      </c>
      <c r="B112" s="25" t="s">
        <v>373</v>
      </c>
      <c r="C112" s="25" t="s">
        <v>374</v>
      </c>
      <c r="D112" s="25" t="s">
        <v>375</v>
      </c>
      <c r="E112" s="26" t="s">
        <v>937</v>
      </c>
      <c r="F112" s="27" t="s">
        <v>938</v>
      </c>
      <c r="G112" s="28" t="s">
        <v>1042</v>
      </c>
      <c r="H112" s="29" t="s">
        <v>910</v>
      </c>
      <c r="I112" s="29"/>
      <c r="J112" s="30">
        <v>10</v>
      </c>
      <c r="K112" s="31">
        <f>689.2</f>
        <v>689.2</v>
      </c>
      <c r="L112" s="32" t="s">
        <v>904</v>
      </c>
      <c r="M112" s="31">
        <f>774</f>
        <v>774</v>
      </c>
      <c r="N112" s="32" t="s">
        <v>70</v>
      </c>
      <c r="O112" s="31">
        <f>689.2</f>
        <v>689.2</v>
      </c>
      <c r="P112" s="32" t="s">
        <v>904</v>
      </c>
      <c r="Q112" s="31">
        <f>748</f>
        <v>748</v>
      </c>
      <c r="R112" s="32" t="s">
        <v>821</v>
      </c>
      <c r="S112" s="33">
        <f>731.09</f>
        <v>731.09</v>
      </c>
      <c r="T112" s="30">
        <f>57300</f>
        <v>57300</v>
      </c>
      <c r="U112" s="30">
        <f>45150</f>
        <v>45150</v>
      </c>
      <c r="V112" s="30">
        <f>43373144</f>
        <v>43373144</v>
      </c>
      <c r="W112" s="30">
        <f>34512757</f>
        <v>34512757</v>
      </c>
      <c r="X112" s="34">
        <f>8</f>
        <v>8</v>
      </c>
    </row>
    <row r="113" spans="1:24" x14ac:dyDescent="0.15">
      <c r="A113" s="25" t="s">
        <v>1041</v>
      </c>
      <c r="B113" s="25" t="s">
        <v>376</v>
      </c>
      <c r="C113" s="25" t="s">
        <v>377</v>
      </c>
      <c r="D113" s="25" t="s">
        <v>378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24050</f>
        <v>24050</v>
      </c>
      <c r="L113" s="32" t="s">
        <v>904</v>
      </c>
      <c r="M113" s="31">
        <f>25340</f>
        <v>25340</v>
      </c>
      <c r="N113" s="32" t="s">
        <v>94</v>
      </c>
      <c r="O113" s="31">
        <f>24050</f>
        <v>24050</v>
      </c>
      <c r="P113" s="32" t="s">
        <v>904</v>
      </c>
      <c r="Q113" s="31">
        <f>25020</f>
        <v>25020</v>
      </c>
      <c r="R113" s="32" t="s">
        <v>934</v>
      </c>
      <c r="S113" s="33">
        <f>24578.25</f>
        <v>24578.25</v>
      </c>
      <c r="T113" s="30">
        <f>52537</f>
        <v>52537</v>
      </c>
      <c r="U113" s="30">
        <f>14200</f>
        <v>14200</v>
      </c>
      <c r="V113" s="30">
        <f>1301724961</f>
        <v>1301724961</v>
      </c>
      <c r="W113" s="30">
        <f>350721776</f>
        <v>350721776</v>
      </c>
      <c r="X113" s="34">
        <f>20</f>
        <v>20</v>
      </c>
    </row>
    <row r="114" spans="1:24" x14ac:dyDescent="0.15">
      <c r="A114" s="25" t="s">
        <v>1041</v>
      </c>
      <c r="B114" s="25" t="s">
        <v>379</v>
      </c>
      <c r="C114" s="25" t="s">
        <v>380</v>
      </c>
      <c r="D114" s="25" t="s">
        <v>381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2217</f>
        <v>2217</v>
      </c>
      <c r="L114" s="32" t="s">
        <v>904</v>
      </c>
      <c r="M114" s="31">
        <f>2290</f>
        <v>2290</v>
      </c>
      <c r="N114" s="32" t="s">
        <v>820</v>
      </c>
      <c r="O114" s="31">
        <f>2172</f>
        <v>2172</v>
      </c>
      <c r="P114" s="32" t="s">
        <v>811</v>
      </c>
      <c r="Q114" s="31">
        <f>2249</f>
        <v>2249</v>
      </c>
      <c r="R114" s="32" t="s">
        <v>934</v>
      </c>
      <c r="S114" s="33">
        <f>2242.9</f>
        <v>2242.9</v>
      </c>
      <c r="T114" s="30">
        <f>502508</f>
        <v>502508</v>
      </c>
      <c r="U114" s="30">
        <f>457000</f>
        <v>457000</v>
      </c>
      <c r="V114" s="30">
        <f>1123065931</f>
        <v>1123065931</v>
      </c>
      <c r="W114" s="30">
        <f>1020963400</f>
        <v>1020963400</v>
      </c>
      <c r="X114" s="34">
        <f>20</f>
        <v>20</v>
      </c>
    </row>
    <row r="115" spans="1:24" x14ac:dyDescent="0.15">
      <c r="A115" s="25" t="s">
        <v>1041</v>
      </c>
      <c r="B115" s="25" t="s">
        <v>382</v>
      </c>
      <c r="C115" s="25" t="s">
        <v>383</v>
      </c>
      <c r="D115" s="25" t="s">
        <v>384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15325</f>
        <v>15325</v>
      </c>
      <c r="L115" s="32" t="s">
        <v>904</v>
      </c>
      <c r="M115" s="31">
        <f>16295</f>
        <v>16295</v>
      </c>
      <c r="N115" s="32" t="s">
        <v>820</v>
      </c>
      <c r="O115" s="31">
        <f>14675</f>
        <v>14675</v>
      </c>
      <c r="P115" s="32" t="s">
        <v>811</v>
      </c>
      <c r="Q115" s="31">
        <f>15695</f>
        <v>15695</v>
      </c>
      <c r="R115" s="32" t="s">
        <v>934</v>
      </c>
      <c r="S115" s="33">
        <f>15629.25</f>
        <v>15629.25</v>
      </c>
      <c r="T115" s="30">
        <f>15446260</f>
        <v>15446260</v>
      </c>
      <c r="U115" s="30">
        <f>15030</f>
        <v>15030</v>
      </c>
      <c r="V115" s="30">
        <f>241674166300</f>
        <v>241674166300</v>
      </c>
      <c r="W115" s="30">
        <f>228402000</f>
        <v>228402000</v>
      </c>
      <c r="X115" s="34">
        <f>20</f>
        <v>20</v>
      </c>
    </row>
    <row r="116" spans="1:24" x14ac:dyDescent="0.15">
      <c r="A116" s="25" t="s">
        <v>1041</v>
      </c>
      <c r="B116" s="25" t="s">
        <v>385</v>
      </c>
      <c r="C116" s="25" t="s">
        <v>386</v>
      </c>
      <c r="D116" s="25" t="s">
        <v>387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2547.5</f>
        <v>2547.5</v>
      </c>
      <c r="L116" s="32" t="s">
        <v>904</v>
      </c>
      <c r="M116" s="31">
        <f>2600</f>
        <v>2600</v>
      </c>
      <c r="N116" s="32" t="s">
        <v>811</v>
      </c>
      <c r="O116" s="31">
        <f>2461</f>
        <v>2461</v>
      </c>
      <c r="P116" s="32" t="s">
        <v>820</v>
      </c>
      <c r="Q116" s="31">
        <f>2508</f>
        <v>2508</v>
      </c>
      <c r="R116" s="32" t="s">
        <v>934</v>
      </c>
      <c r="S116" s="33">
        <f>2516.53</f>
        <v>2516.5300000000002</v>
      </c>
      <c r="T116" s="30">
        <f>447370</f>
        <v>447370</v>
      </c>
      <c r="U116" s="30" t="str">
        <f>"－"</f>
        <v>－</v>
      </c>
      <c r="V116" s="30">
        <f>1125672265</f>
        <v>1125672265</v>
      </c>
      <c r="W116" s="30" t="str">
        <f>"－"</f>
        <v>－</v>
      </c>
      <c r="X116" s="34">
        <f>20</f>
        <v>20</v>
      </c>
    </row>
    <row r="117" spans="1:24" x14ac:dyDescent="0.15">
      <c r="A117" s="25" t="s">
        <v>1041</v>
      </c>
      <c r="B117" s="25" t="s">
        <v>388</v>
      </c>
      <c r="C117" s="25" t="s">
        <v>389</v>
      </c>
      <c r="D117" s="25" t="s">
        <v>390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920.1</f>
        <v>920.1</v>
      </c>
      <c r="L117" s="32" t="s">
        <v>904</v>
      </c>
      <c r="M117" s="31">
        <f>1100.5</f>
        <v>1100.5</v>
      </c>
      <c r="N117" s="32" t="s">
        <v>821</v>
      </c>
      <c r="O117" s="31">
        <f>920.1</f>
        <v>920.1</v>
      </c>
      <c r="P117" s="32" t="s">
        <v>904</v>
      </c>
      <c r="Q117" s="31">
        <f>950</f>
        <v>950</v>
      </c>
      <c r="R117" s="32" t="s">
        <v>934</v>
      </c>
      <c r="S117" s="33">
        <f>952.56</f>
        <v>952.56</v>
      </c>
      <c r="T117" s="30">
        <f>3650</f>
        <v>3650</v>
      </c>
      <c r="U117" s="30" t="str">
        <f>"－"</f>
        <v>－</v>
      </c>
      <c r="V117" s="30">
        <f>3644064</f>
        <v>3644064</v>
      </c>
      <c r="W117" s="30" t="str">
        <f>"－"</f>
        <v>－</v>
      </c>
      <c r="X117" s="34">
        <f>12</f>
        <v>12</v>
      </c>
    </row>
    <row r="118" spans="1:24" x14ac:dyDescent="0.15">
      <c r="A118" s="25" t="s">
        <v>1041</v>
      </c>
      <c r="B118" s="25" t="s">
        <v>391</v>
      </c>
      <c r="C118" s="25" t="s">
        <v>392</v>
      </c>
      <c r="D118" s="25" t="s">
        <v>393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1536.5</f>
        <v>1536.5</v>
      </c>
      <c r="L118" s="32" t="s">
        <v>904</v>
      </c>
      <c r="M118" s="31">
        <f>1591</f>
        <v>1591</v>
      </c>
      <c r="N118" s="32" t="s">
        <v>820</v>
      </c>
      <c r="O118" s="31">
        <f>1532</f>
        <v>1532</v>
      </c>
      <c r="P118" s="32" t="s">
        <v>905</v>
      </c>
      <c r="Q118" s="31">
        <f>1561.5</f>
        <v>1561.5</v>
      </c>
      <c r="R118" s="32" t="s">
        <v>934</v>
      </c>
      <c r="S118" s="33">
        <f>1557.75</f>
        <v>1557.75</v>
      </c>
      <c r="T118" s="30">
        <f>3080</f>
        <v>3080</v>
      </c>
      <c r="U118" s="30" t="str">
        <f>"－"</f>
        <v>－</v>
      </c>
      <c r="V118" s="30">
        <f>4801665</f>
        <v>4801665</v>
      </c>
      <c r="W118" s="30" t="str">
        <f>"－"</f>
        <v>－</v>
      </c>
      <c r="X118" s="34">
        <f>8</f>
        <v>8</v>
      </c>
    </row>
    <row r="119" spans="1:24" x14ac:dyDescent="0.15">
      <c r="A119" s="25" t="s">
        <v>1041</v>
      </c>
      <c r="B119" s="25" t="s">
        <v>394</v>
      </c>
      <c r="C119" s="25" t="s">
        <v>395</v>
      </c>
      <c r="D119" s="25" t="s">
        <v>396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1666</f>
        <v>1666</v>
      </c>
      <c r="L119" s="32" t="s">
        <v>904</v>
      </c>
      <c r="M119" s="31">
        <f>1721</f>
        <v>1721</v>
      </c>
      <c r="N119" s="32" t="s">
        <v>908</v>
      </c>
      <c r="O119" s="31">
        <f>1627</f>
        <v>1627</v>
      </c>
      <c r="P119" s="32" t="s">
        <v>811</v>
      </c>
      <c r="Q119" s="31">
        <f>1676</f>
        <v>1676</v>
      </c>
      <c r="R119" s="32" t="s">
        <v>934</v>
      </c>
      <c r="S119" s="33">
        <f>1662.8</f>
        <v>1662.8</v>
      </c>
      <c r="T119" s="30">
        <f>15341</f>
        <v>15341</v>
      </c>
      <c r="U119" s="30" t="str">
        <f>"－"</f>
        <v>－</v>
      </c>
      <c r="V119" s="30">
        <f>25673787</f>
        <v>25673787</v>
      </c>
      <c r="W119" s="30" t="str">
        <f>"－"</f>
        <v>－</v>
      </c>
      <c r="X119" s="34">
        <f>20</f>
        <v>20</v>
      </c>
    </row>
    <row r="120" spans="1:24" x14ac:dyDescent="0.15">
      <c r="A120" s="25" t="s">
        <v>1041</v>
      </c>
      <c r="B120" s="25" t="s">
        <v>397</v>
      </c>
      <c r="C120" s="25" t="s">
        <v>398</v>
      </c>
      <c r="D120" s="25" t="s">
        <v>399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17400</f>
        <v>17400</v>
      </c>
      <c r="L120" s="32" t="s">
        <v>904</v>
      </c>
      <c r="M120" s="31">
        <f>18315</f>
        <v>18315</v>
      </c>
      <c r="N120" s="32" t="s">
        <v>820</v>
      </c>
      <c r="O120" s="31">
        <f>17170</f>
        <v>17170</v>
      </c>
      <c r="P120" s="32" t="s">
        <v>811</v>
      </c>
      <c r="Q120" s="31">
        <f>17945</f>
        <v>17945</v>
      </c>
      <c r="R120" s="32" t="s">
        <v>934</v>
      </c>
      <c r="S120" s="33">
        <f>17789.75</f>
        <v>17789.75</v>
      </c>
      <c r="T120" s="30">
        <f>212334</f>
        <v>212334</v>
      </c>
      <c r="U120" s="30">
        <f>151801</f>
        <v>151801</v>
      </c>
      <c r="V120" s="30">
        <f>3813563190</f>
        <v>3813563190</v>
      </c>
      <c r="W120" s="30">
        <f>2735526410</f>
        <v>2735526410</v>
      </c>
      <c r="X120" s="34">
        <f>20</f>
        <v>20</v>
      </c>
    </row>
    <row r="121" spans="1:24" x14ac:dyDescent="0.15">
      <c r="A121" s="25" t="s">
        <v>1041</v>
      </c>
      <c r="B121" s="25" t="s">
        <v>400</v>
      </c>
      <c r="C121" s="25" t="s">
        <v>401</v>
      </c>
      <c r="D121" s="25" t="s">
        <v>402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1610</f>
        <v>1610</v>
      </c>
      <c r="L121" s="32" t="s">
        <v>904</v>
      </c>
      <c r="M121" s="31">
        <f>1689</f>
        <v>1689</v>
      </c>
      <c r="N121" s="32" t="s">
        <v>820</v>
      </c>
      <c r="O121" s="31">
        <f>1585</f>
        <v>1585</v>
      </c>
      <c r="P121" s="32" t="s">
        <v>811</v>
      </c>
      <c r="Q121" s="31">
        <f>1655</f>
        <v>1655</v>
      </c>
      <c r="R121" s="32" t="s">
        <v>934</v>
      </c>
      <c r="S121" s="33">
        <f>1641.6</f>
        <v>1641.6</v>
      </c>
      <c r="T121" s="30">
        <f>69795</f>
        <v>69795</v>
      </c>
      <c r="U121" s="30">
        <f>36500</f>
        <v>36500</v>
      </c>
      <c r="V121" s="30">
        <f>116168968</f>
        <v>116168968</v>
      </c>
      <c r="W121" s="30">
        <f>61557250</f>
        <v>61557250</v>
      </c>
      <c r="X121" s="34">
        <f>20</f>
        <v>20</v>
      </c>
    </row>
    <row r="122" spans="1:24" x14ac:dyDescent="0.15">
      <c r="A122" s="25" t="s">
        <v>1041</v>
      </c>
      <c r="B122" s="25" t="s">
        <v>403</v>
      </c>
      <c r="C122" s="25" t="s">
        <v>404</v>
      </c>
      <c r="D122" s="25" t="s">
        <v>405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17900</f>
        <v>17900</v>
      </c>
      <c r="L122" s="32" t="s">
        <v>904</v>
      </c>
      <c r="M122" s="31">
        <f>18880</f>
        <v>18880</v>
      </c>
      <c r="N122" s="32" t="s">
        <v>815</v>
      </c>
      <c r="O122" s="31">
        <f>17690</f>
        <v>17690</v>
      </c>
      <c r="P122" s="32" t="s">
        <v>811</v>
      </c>
      <c r="Q122" s="31">
        <f>18500</f>
        <v>18500</v>
      </c>
      <c r="R122" s="32" t="s">
        <v>934</v>
      </c>
      <c r="S122" s="33">
        <f>18339.5</f>
        <v>18339.5</v>
      </c>
      <c r="T122" s="30">
        <f>16903</f>
        <v>16903</v>
      </c>
      <c r="U122" s="30">
        <f>550</f>
        <v>550</v>
      </c>
      <c r="V122" s="30">
        <f>311084570</f>
        <v>311084570</v>
      </c>
      <c r="W122" s="30">
        <f>10366400</f>
        <v>10366400</v>
      </c>
      <c r="X122" s="34">
        <f>20</f>
        <v>20</v>
      </c>
    </row>
    <row r="123" spans="1:24" x14ac:dyDescent="0.15">
      <c r="A123" s="25" t="s">
        <v>1041</v>
      </c>
      <c r="B123" s="25" t="s">
        <v>406</v>
      </c>
      <c r="C123" s="25" t="s">
        <v>407</v>
      </c>
      <c r="D123" s="25" t="s">
        <v>408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2006.5</f>
        <v>2006.5</v>
      </c>
      <c r="L123" s="32" t="s">
        <v>904</v>
      </c>
      <c r="M123" s="31">
        <f>2031</f>
        <v>2031</v>
      </c>
      <c r="N123" s="32" t="s">
        <v>909</v>
      </c>
      <c r="O123" s="31">
        <f>1962</f>
        <v>1962</v>
      </c>
      <c r="P123" s="32" t="s">
        <v>70</v>
      </c>
      <c r="Q123" s="31">
        <f>2001</f>
        <v>2001</v>
      </c>
      <c r="R123" s="32" t="s">
        <v>934</v>
      </c>
      <c r="S123" s="33">
        <f>1991</f>
        <v>1991</v>
      </c>
      <c r="T123" s="30">
        <f>507090</f>
        <v>507090</v>
      </c>
      <c r="U123" s="30">
        <f>62510</f>
        <v>62510</v>
      </c>
      <c r="V123" s="30">
        <f>1011193250</f>
        <v>1011193250</v>
      </c>
      <c r="W123" s="30">
        <f>125100665</f>
        <v>125100665</v>
      </c>
      <c r="X123" s="34">
        <f>20</f>
        <v>20</v>
      </c>
    </row>
    <row r="124" spans="1:24" x14ac:dyDescent="0.15">
      <c r="A124" s="25" t="s">
        <v>1041</v>
      </c>
      <c r="B124" s="25" t="s">
        <v>409</v>
      </c>
      <c r="C124" s="25" t="s">
        <v>410</v>
      </c>
      <c r="D124" s="25" t="s">
        <v>411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1687</f>
        <v>1687</v>
      </c>
      <c r="L124" s="32" t="s">
        <v>909</v>
      </c>
      <c r="M124" s="31">
        <f>1757</f>
        <v>1757</v>
      </c>
      <c r="N124" s="32" t="s">
        <v>815</v>
      </c>
      <c r="O124" s="31">
        <f>1687</f>
        <v>1687</v>
      </c>
      <c r="P124" s="32" t="s">
        <v>909</v>
      </c>
      <c r="Q124" s="31">
        <f>1757</f>
        <v>1757</v>
      </c>
      <c r="R124" s="32" t="s">
        <v>815</v>
      </c>
      <c r="S124" s="33">
        <f>1722.33</f>
        <v>1722.33</v>
      </c>
      <c r="T124" s="30">
        <f>30</f>
        <v>30</v>
      </c>
      <c r="U124" s="30" t="str">
        <f>"－"</f>
        <v>－</v>
      </c>
      <c r="V124" s="30">
        <f>51670</f>
        <v>51670</v>
      </c>
      <c r="W124" s="30" t="str">
        <f>"－"</f>
        <v>－</v>
      </c>
      <c r="X124" s="34">
        <f>3</f>
        <v>3</v>
      </c>
    </row>
    <row r="125" spans="1:24" x14ac:dyDescent="0.15">
      <c r="A125" s="25" t="s">
        <v>1041</v>
      </c>
      <c r="B125" s="25" t="s">
        <v>412</v>
      </c>
      <c r="C125" s="25" t="s">
        <v>413</v>
      </c>
      <c r="D125" s="25" t="s">
        <v>414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2028</f>
        <v>2028</v>
      </c>
      <c r="L125" s="32" t="s">
        <v>904</v>
      </c>
      <c r="M125" s="31">
        <f>2052.5</f>
        <v>2052.5</v>
      </c>
      <c r="N125" s="32" t="s">
        <v>909</v>
      </c>
      <c r="O125" s="31">
        <f>1980</f>
        <v>1980</v>
      </c>
      <c r="P125" s="32" t="s">
        <v>70</v>
      </c>
      <c r="Q125" s="31">
        <f>2024.5</f>
        <v>2024.5</v>
      </c>
      <c r="R125" s="32" t="s">
        <v>934</v>
      </c>
      <c r="S125" s="33">
        <f>2009.05</f>
        <v>2009.05</v>
      </c>
      <c r="T125" s="30">
        <f>867370</f>
        <v>867370</v>
      </c>
      <c r="U125" s="30">
        <f>290600</f>
        <v>290600</v>
      </c>
      <c r="V125" s="30">
        <f>1740557063</f>
        <v>1740557063</v>
      </c>
      <c r="W125" s="30">
        <f>579463843</f>
        <v>579463843</v>
      </c>
      <c r="X125" s="34">
        <f>20</f>
        <v>20</v>
      </c>
    </row>
    <row r="126" spans="1:24" x14ac:dyDescent="0.15">
      <c r="A126" s="25" t="s">
        <v>1041</v>
      </c>
      <c r="B126" s="25" t="s">
        <v>415</v>
      </c>
      <c r="C126" s="25" t="s">
        <v>416</v>
      </c>
      <c r="D126" s="25" t="s">
        <v>417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17815</f>
        <v>17815</v>
      </c>
      <c r="L126" s="32" t="s">
        <v>904</v>
      </c>
      <c r="M126" s="31">
        <f>18670</f>
        <v>18670</v>
      </c>
      <c r="N126" s="32" t="s">
        <v>820</v>
      </c>
      <c r="O126" s="31">
        <f>17735</f>
        <v>17735</v>
      </c>
      <c r="P126" s="32" t="s">
        <v>70</v>
      </c>
      <c r="Q126" s="31">
        <f>18310</f>
        <v>18310</v>
      </c>
      <c r="R126" s="32" t="s">
        <v>934</v>
      </c>
      <c r="S126" s="33">
        <f>18167.22</f>
        <v>18167.22</v>
      </c>
      <c r="T126" s="30">
        <f>75056</f>
        <v>75056</v>
      </c>
      <c r="U126" s="30">
        <f>74226</f>
        <v>74226</v>
      </c>
      <c r="V126" s="30">
        <f>1368425039</f>
        <v>1368425039</v>
      </c>
      <c r="W126" s="30">
        <f>1353380754</f>
        <v>1353380754</v>
      </c>
      <c r="X126" s="34">
        <f>18</f>
        <v>18</v>
      </c>
    </row>
    <row r="127" spans="1:24" x14ac:dyDescent="0.15">
      <c r="A127" s="25" t="s">
        <v>1041</v>
      </c>
      <c r="B127" s="25" t="s">
        <v>418</v>
      </c>
      <c r="C127" s="25" t="s">
        <v>419</v>
      </c>
      <c r="D127" s="25" t="s">
        <v>420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100</v>
      </c>
      <c r="K127" s="31">
        <f>168.4</f>
        <v>168.4</v>
      </c>
      <c r="L127" s="32" t="s">
        <v>904</v>
      </c>
      <c r="M127" s="31">
        <f>185.2</f>
        <v>185.2</v>
      </c>
      <c r="N127" s="32" t="s">
        <v>94</v>
      </c>
      <c r="O127" s="31">
        <f>167.6</f>
        <v>167.6</v>
      </c>
      <c r="P127" s="32" t="s">
        <v>904</v>
      </c>
      <c r="Q127" s="31">
        <f>181.2</f>
        <v>181.2</v>
      </c>
      <c r="R127" s="32" t="s">
        <v>934</v>
      </c>
      <c r="S127" s="33">
        <f>173.76</f>
        <v>173.76</v>
      </c>
      <c r="T127" s="30">
        <f>33631000</f>
        <v>33631000</v>
      </c>
      <c r="U127" s="30">
        <f>6800</f>
        <v>6800</v>
      </c>
      <c r="V127" s="30">
        <f>5840061765</f>
        <v>5840061765</v>
      </c>
      <c r="W127" s="30">
        <f>1211435</f>
        <v>1211435</v>
      </c>
      <c r="X127" s="34">
        <f>20</f>
        <v>20</v>
      </c>
    </row>
    <row r="128" spans="1:24" x14ac:dyDescent="0.15">
      <c r="A128" s="25" t="s">
        <v>1041</v>
      </c>
      <c r="B128" s="25" t="s">
        <v>421</v>
      </c>
      <c r="C128" s="25" t="s">
        <v>422</v>
      </c>
      <c r="D128" s="25" t="s">
        <v>423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29060</f>
        <v>29060</v>
      </c>
      <c r="L128" s="32" t="s">
        <v>904</v>
      </c>
      <c r="M128" s="31">
        <f>30470</f>
        <v>30470</v>
      </c>
      <c r="N128" s="32" t="s">
        <v>815</v>
      </c>
      <c r="O128" s="31">
        <f>28860</f>
        <v>28860</v>
      </c>
      <c r="P128" s="32" t="s">
        <v>819</v>
      </c>
      <c r="Q128" s="31">
        <f>30090</f>
        <v>30090</v>
      </c>
      <c r="R128" s="32" t="s">
        <v>934</v>
      </c>
      <c r="S128" s="33">
        <f>29715.53</f>
        <v>29715.53</v>
      </c>
      <c r="T128" s="30">
        <f>1096</f>
        <v>1096</v>
      </c>
      <c r="U128" s="30" t="str">
        <f>"－"</f>
        <v>－</v>
      </c>
      <c r="V128" s="30">
        <f>32724340</f>
        <v>32724340</v>
      </c>
      <c r="W128" s="30" t="str">
        <f>"－"</f>
        <v>－</v>
      </c>
      <c r="X128" s="34">
        <f>19</f>
        <v>19</v>
      </c>
    </row>
    <row r="129" spans="1:24" x14ac:dyDescent="0.15">
      <c r="A129" s="25" t="s">
        <v>1041</v>
      </c>
      <c r="B129" s="25" t="s">
        <v>424</v>
      </c>
      <c r="C129" s="25" t="s">
        <v>425</v>
      </c>
      <c r="D129" s="25" t="s">
        <v>426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13700</f>
        <v>13700</v>
      </c>
      <c r="L129" s="32" t="s">
        <v>904</v>
      </c>
      <c r="M129" s="31">
        <f>14360</f>
        <v>14360</v>
      </c>
      <c r="N129" s="32" t="s">
        <v>912</v>
      </c>
      <c r="O129" s="31">
        <f>13295</f>
        <v>13295</v>
      </c>
      <c r="P129" s="32" t="s">
        <v>66</v>
      </c>
      <c r="Q129" s="31">
        <f>13525</f>
        <v>13525</v>
      </c>
      <c r="R129" s="32" t="s">
        <v>934</v>
      </c>
      <c r="S129" s="33">
        <f>13731.25</f>
        <v>13731.25</v>
      </c>
      <c r="T129" s="30">
        <f>7367</f>
        <v>7367</v>
      </c>
      <c r="U129" s="30">
        <f>1</f>
        <v>1</v>
      </c>
      <c r="V129" s="30">
        <f>101322190</f>
        <v>101322190</v>
      </c>
      <c r="W129" s="30">
        <f>14240</f>
        <v>14240</v>
      </c>
      <c r="X129" s="34">
        <f>20</f>
        <v>20</v>
      </c>
    </row>
    <row r="130" spans="1:24" x14ac:dyDescent="0.15">
      <c r="A130" s="25" t="s">
        <v>1041</v>
      </c>
      <c r="B130" s="25" t="s">
        <v>427</v>
      </c>
      <c r="C130" s="25" t="s">
        <v>428</v>
      </c>
      <c r="D130" s="25" t="s">
        <v>429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21080</f>
        <v>21080</v>
      </c>
      <c r="L130" s="32" t="s">
        <v>909</v>
      </c>
      <c r="M130" s="31">
        <f>21970</f>
        <v>21970</v>
      </c>
      <c r="N130" s="32" t="s">
        <v>815</v>
      </c>
      <c r="O130" s="31">
        <f>20525</f>
        <v>20525</v>
      </c>
      <c r="P130" s="32" t="s">
        <v>811</v>
      </c>
      <c r="Q130" s="31">
        <f>21585</f>
        <v>21585</v>
      </c>
      <c r="R130" s="32" t="s">
        <v>934</v>
      </c>
      <c r="S130" s="33">
        <f>21275.53</f>
        <v>21275.53</v>
      </c>
      <c r="T130" s="30">
        <f>570</f>
        <v>570</v>
      </c>
      <c r="U130" s="30" t="str">
        <f>"－"</f>
        <v>－</v>
      </c>
      <c r="V130" s="30">
        <f>12206370</f>
        <v>12206370</v>
      </c>
      <c r="W130" s="30" t="str">
        <f>"－"</f>
        <v>－</v>
      </c>
      <c r="X130" s="34">
        <f>19</f>
        <v>19</v>
      </c>
    </row>
    <row r="131" spans="1:24" x14ac:dyDescent="0.15">
      <c r="A131" s="25" t="s">
        <v>1041</v>
      </c>
      <c r="B131" s="25" t="s">
        <v>430</v>
      </c>
      <c r="C131" s="25" t="s">
        <v>431</v>
      </c>
      <c r="D131" s="25" t="s">
        <v>432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23455</f>
        <v>23455</v>
      </c>
      <c r="L131" s="32" t="s">
        <v>904</v>
      </c>
      <c r="M131" s="31">
        <f>25200</f>
        <v>25200</v>
      </c>
      <c r="N131" s="32" t="s">
        <v>815</v>
      </c>
      <c r="O131" s="31">
        <f>22775</f>
        <v>22775</v>
      </c>
      <c r="P131" s="32" t="s">
        <v>811</v>
      </c>
      <c r="Q131" s="31">
        <f>24800</f>
        <v>24800</v>
      </c>
      <c r="R131" s="32" t="s">
        <v>934</v>
      </c>
      <c r="S131" s="33">
        <f>24291.25</f>
        <v>24291.25</v>
      </c>
      <c r="T131" s="30">
        <f>2423</f>
        <v>2423</v>
      </c>
      <c r="U131" s="30" t="str">
        <f>"－"</f>
        <v>－</v>
      </c>
      <c r="V131" s="30">
        <f>58497840</f>
        <v>58497840</v>
      </c>
      <c r="W131" s="30" t="str">
        <f>"－"</f>
        <v>－</v>
      </c>
      <c r="X131" s="34">
        <f>20</f>
        <v>20</v>
      </c>
    </row>
    <row r="132" spans="1:24" x14ac:dyDescent="0.15">
      <c r="A132" s="25" t="s">
        <v>1041</v>
      </c>
      <c r="B132" s="25" t="s">
        <v>433</v>
      </c>
      <c r="C132" s="25" t="s">
        <v>434</v>
      </c>
      <c r="D132" s="25" t="s">
        <v>435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26755</f>
        <v>26755</v>
      </c>
      <c r="L132" s="32" t="s">
        <v>904</v>
      </c>
      <c r="M132" s="31">
        <f>27450</f>
        <v>27450</v>
      </c>
      <c r="N132" s="32" t="s">
        <v>820</v>
      </c>
      <c r="O132" s="31">
        <f>25570</f>
        <v>25570</v>
      </c>
      <c r="P132" s="32" t="s">
        <v>695</v>
      </c>
      <c r="Q132" s="31">
        <f>26750</f>
        <v>26750</v>
      </c>
      <c r="R132" s="32" t="s">
        <v>934</v>
      </c>
      <c r="S132" s="33">
        <f>26439.25</f>
        <v>26439.25</v>
      </c>
      <c r="T132" s="30">
        <f>3805</f>
        <v>3805</v>
      </c>
      <c r="U132" s="30">
        <f>375</f>
        <v>375</v>
      </c>
      <c r="V132" s="30">
        <f>101117570</f>
        <v>101117570</v>
      </c>
      <c r="W132" s="30">
        <f>9997830</f>
        <v>9997830</v>
      </c>
      <c r="X132" s="34">
        <f>20</f>
        <v>20</v>
      </c>
    </row>
    <row r="133" spans="1:24" x14ac:dyDescent="0.15">
      <c r="A133" s="25" t="s">
        <v>1041</v>
      </c>
      <c r="B133" s="25" t="s">
        <v>436</v>
      </c>
      <c r="C133" s="25" t="s">
        <v>437</v>
      </c>
      <c r="D133" s="25" t="s">
        <v>438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23975</f>
        <v>23975</v>
      </c>
      <c r="L133" s="32" t="s">
        <v>904</v>
      </c>
      <c r="M133" s="31">
        <f>24325</f>
        <v>24325</v>
      </c>
      <c r="N133" s="32" t="s">
        <v>908</v>
      </c>
      <c r="O133" s="31">
        <f>23100</f>
        <v>23100</v>
      </c>
      <c r="P133" s="32" t="s">
        <v>909</v>
      </c>
      <c r="Q133" s="31">
        <f>23880</f>
        <v>23880</v>
      </c>
      <c r="R133" s="32" t="s">
        <v>934</v>
      </c>
      <c r="S133" s="33">
        <f>23871.5</f>
        <v>23871.5</v>
      </c>
      <c r="T133" s="30">
        <f>3644</f>
        <v>3644</v>
      </c>
      <c r="U133" s="30" t="str">
        <f t="shared" ref="U133:U144" si="2">"－"</f>
        <v>－</v>
      </c>
      <c r="V133" s="30">
        <f>87044955</f>
        <v>87044955</v>
      </c>
      <c r="W133" s="30" t="str">
        <f t="shared" ref="W133:W144" si="3">"－"</f>
        <v>－</v>
      </c>
      <c r="X133" s="34">
        <f>20</f>
        <v>20</v>
      </c>
    </row>
    <row r="134" spans="1:24" x14ac:dyDescent="0.15">
      <c r="A134" s="25" t="s">
        <v>1041</v>
      </c>
      <c r="B134" s="25" t="s">
        <v>439</v>
      </c>
      <c r="C134" s="25" t="s">
        <v>440</v>
      </c>
      <c r="D134" s="25" t="s">
        <v>441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16445</f>
        <v>16445</v>
      </c>
      <c r="L134" s="32" t="s">
        <v>904</v>
      </c>
      <c r="M134" s="31">
        <f>18030</f>
        <v>18030</v>
      </c>
      <c r="N134" s="32" t="s">
        <v>908</v>
      </c>
      <c r="O134" s="31">
        <f>16410</f>
        <v>16410</v>
      </c>
      <c r="P134" s="32" t="s">
        <v>904</v>
      </c>
      <c r="Q134" s="31">
        <f>17700</f>
        <v>17700</v>
      </c>
      <c r="R134" s="32" t="s">
        <v>934</v>
      </c>
      <c r="S134" s="33">
        <f>17424.25</f>
        <v>17424.25</v>
      </c>
      <c r="T134" s="30">
        <f>5430</f>
        <v>5430</v>
      </c>
      <c r="U134" s="30" t="str">
        <f t="shared" si="2"/>
        <v>－</v>
      </c>
      <c r="V134" s="30">
        <f>94549285</f>
        <v>94549285</v>
      </c>
      <c r="W134" s="30" t="str">
        <f t="shared" si="3"/>
        <v>－</v>
      </c>
      <c r="X134" s="34">
        <f>20</f>
        <v>20</v>
      </c>
    </row>
    <row r="135" spans="1:24" x14ac:dyDescent="0.15">
      <c r="A135" s="25" t="s">
        <v>1041</v>
      </c>
      <c r="B135" s="25" t="s">
        <v>442</v>
      </c>
      <c r="C135" s="25" t="s">
        <v>443</v>
      </c>
      <c r="D135" s="25" t="s">
        <v>444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37910</f>
        <v>37910</v>
      </c>
      <c r="L135" s="32" t="s">
        <v>904</v>
      </c>
      <c r="M135" s="31">
        <f>40090</f>
        <v>40090</v>
      </c>
      <c r="N135" s="32" t="s">
        <v>820</v>
      </c>
      <c r="O135" s="31">
        <f>37300</f>
        <v>37300</v>
      </c>
      <c r="P135" s="32" t="s">
        <v>909</v>
      </c>
      <c r="Q135" s="31">
        <f>39000</f>
        <v>39000</v>
      </c>
      <c r="R135" s="32" t="s">
        <v>934</v>
      </c>
      <c r="S135" s="33">
        <f>38980.5</f>
        <v>38980.5</v>
      </c>
      <c r="T135" s="30">
        <f>620</f>
        <v>620</v>
      </c>
      <c r="U135" s="30" t="str">
        <f t="shared" si="2"/>
        <v>－</v>
      </c>
      <c r="V135" s="30">
        <f>24127920</f>
        <v>24127920</v>
      </c>
      <c r="W135" s="30" t="str">
        <f t="shared" si="3"/>
        <v>－</v>
      </c>
      <c r="X135" s="34">
        <f>20</f>
        <v>20</v>
      </c>
    </row>
    <row r="136" spans="1:24" x14ac:dyDescent="0.15">
      <c r="A136" s="25" t="s">
        <v>1041</v>
      </c>
      <c r="B136" s="25" t="s">
        <v>445</v>
      </c>
      <c r="C136" s="25" t="s">
        <v>446</v>
      </c>
      <c r="D136" s="25" t="s">
        <v>447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26445</f>
        <v>26445</v>
      </c>
      <c r="L136" s="32" t="s">
        <v>904</v>
      </c>
      <c r="M136" s="31">
        <f>28475</f>
        <v>28475</v>
      </c>
      <c r="N136" s="32" t="s">
        <v>820</v>
      </c>
      <c r="O136" s="31">
        <f>25500</f>
        <v>25500</v>
      </c>
      <c r="P136" s="32" t="s">
        <v>909</v>
      </c>
      <c r="Q136" s="31">
        <f>27540</f>
        <v>27540</v>
      </c>
      <c r="R136" s="32" t="s">
        <v>934</v>
      </c>
      <c r="S136" s="33">
        <f>27500.25</f>
        <v>27500.25</v>
      </c>
      <c r="T136" s="30">
        <f>3829</f>
        <v>3829</v>
      </c>
      <c r="U136" s="30" t="str">
        <f t="shared" si="2"/>
        <v>－</v>
      </c>
      <c r="V136" s="30">
        <f>105305305</f>
        <v>105305305</v>
      </c>
      <c r="W136" s="30" t="str">
        <f t="shared" si="3"/>
        <v>－</v>
      </c>
      <c r="X136" s="34">
        <f>20</f>
        <v>20</v>
      </c>
    </row>
    <row r="137" spans="1:24" x14ac:dyDescent="0.15">
      <c r="A137" s="25" t="s">
        <v>1041</v>
      </c>
      <c r="B137" s="25" t="s">
        <v>448</v>
      </c>
      <c r="C137" s="25" t="s">
        <v>449</v>
      </c>
      <c r="D137" s="25" t="s">
        <v>450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28945</f>
        <v>28945</v>
      </c>
      <c r="L137" s="32" t="s">
        <v>904</v>
      </c>
      <c r="M137" s="31">
        <f>29100</f>
        <v>29100</v>
      </c>
      <c r="N137" s="32" t="s">
        <v>909</v>
      </c>
      <c r="O137" s="31">
        <f>28065</f>
        <v>28065</v>
      </c>
      <c r="P137" s="32" t="s">
        <v>814</v>
      </c>
      <c r="Q137" s="31">
        <f>28280</f>
        <v>28280</v>
      </c>
      <c r="R137" s="32" t="s">
        <v>934</v>
      </c>
      <c r="S137" s="33">
        <f>28548.5</f>
        <v>28548.5</v>
      </c>
      <c r="T137" s="30">
        <f>852</f>
        <v>852</v>
      </c>
      <c r="U137" s="30" t="str">
        <f t="shared" si="2"/>
        <v>－</v>
      </c>
      <c r="V137" s="30">
        <f>24365860</f>
        <v>24365860</v>
      </c>
      <c r="W137" s="30" t="str">
        <f t="shared" si="3"/>
        <v>－</v>
      </c>
      <c r="X137" s="34">
        <f>20</f>
        <v>20</v>
      </c>
    </row>
    <row r="138" spans="1:24" x14ac:dyDescent="0.15">
      <c r="A138" s="25" t="s">
        <v>1041</v>
      </c>
      <c r="B138" s="25" t="s">
        <v>451</v>
      </c>
      <c r="C138" s="25" t="s">
        <v>452</v>
      </c>
      <c r="D138" s="25" t="s">
        <v>453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5973</f>
        <v>5973</v>
      </c>
      <c r="L138" s="32" t="s">
        <v>904</v>
      </c>
      <c r="M138" s="31">
        <f>6210</f>
        <v>6210</v>
      </c>
      <c r="N138" s="32" t="s">
        <v>815</v>
      </c>
      <c r="O138" s="31">
        <f>5698</f>
        <v>5698</v>
      </c>
      <c r="P138" s="32" t="s">
        <v>906</v>
      </c>
      <c r="Q138" s="31">
        <f>5983</f>
        <v>5983</v>
      </c>
      <c r="R138" s="32" t="s">
        <v>934</v>
      </c>
      <c r="S138" s="33">
        <f>5900.3</f>
        <v>5900.3</v>
      </c>
      <c r="T138" s="30">
        <f>25908</f>
        <v>25908</v>
      </c>
      <c r="U138" s="30" t="str">
        <f t="shared" si="2"/>
        <v>－</v>
      </c>
      <c r="V138" s="30">
        <f>153565607</f>
        <v>153565607</v>
      </c>
      <c r="W138" s="30" t="str">
        <f t="shared" si="3"/>
        <v>－</v>
      </c>
      <c r="X138" s="34">
        <f>20</f>
        <v>20</v>
      </c>
    </row>
    <row r="139" spans="1:24" x14ac:dyDescent="0.15">
      <c r="A139" s="25" t="s">
        <v>1041</v>
      </c>
      <c r="B139" s="25" t="s">
        <v>454</v>
      </c>
      <c r="C139" s="25" t="s">
        <v>455</v>
      </c>
      <c r="D139" s="25" t="s">
        <v>456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16235</f>
        <v>16235</v>
      </c>
      <c r="L139" s="32" t="s">
        <v>904</v>
      </c>
      <c r="M139" s="31">
        <f>16570</f>
        <v>16570</v>
      </c>
      <c r="N139" s="32" t="s">
        <v>934</v>
      </c>
      <c r="O139" s="31">
        <f>15600</f>
        <v>15600</v>
      </c>
      <c r="P139" s="32" t="s">
        <v>906</v>
      </c>
      <c r="Q139" s="31">
        <f>16470</f>
        <v>16470</v>
      </c>
      <c r="R139" s="32" t="s">
        <v>934</v>
      </c>
      <c r="S139" s="33">
        <f>16119</f>
        <v>16119</v>
      </c>
      <c r="T139" s="30">
        <f>16994</f>
        <v>16994</v>
      </c>
      <c r="U139" s="30" t="str">
        <f t="shared" si="2"/>
        <v>－</v>
      </c>
      <c r="V139" s="30">
        <f>273023210</f>
        <v>273023210</v>
      </c>
      <c r="W139" s="30" t="str">
        <f t="shared" si="3"/>
        <v>－</v>
      </c>
      <c r="X139" s="34">
        <f>20</f>
        <v>20</v>
      </c>
    </row>
    <row r="140" spans="1:24" x14ac:dyDescent="0.15">
      <c r="A140" s="25" t="s">
        <v>1041</v>
      </c>
      <c r="B140" s="25" t="s">
        <v>457</v>
      </c>
      <c r="C140" s="25" t="s">
        <v>458</v>
      </c>
      <c r="D140" s="25" t="s">
        <v>459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46710</f>
        <v>46710</v>
      </c>
      <c r="L140" s="32" t="s">
        <v>904</v>
      </c>
      <c r="M140" s="31">
        <f>52890</f>
        <v>52890</v>
      </c>
      <c r="N140" s="32" t="s">
        <v>820</v>
      </c>
      <c r="O140" s="31">
        <f>46700</f>
        <v>46700</v>
      </c>
      <c r="P140" s="32" t="s">
        <v>904</v>
      </c>
      <c r="Q140" s="31">
        <f>51680</f>
        <v>51680</v>
      </c>
      <c r="R140" s="32" t="s">
        <v>934</v>
      </c>
      <c r="S140" s="33">
        <f>50275.5</f>
        <v>50275.5</v>
      </c>
      <c r="T140" s="30">
        <f>12594</f>
        <v>12594</v>
      </c>
      <c r="U140" s="30" t="str">
        <f t="shared" si="2"/>
        <v>－</v>
      </c>
      <c r="V140" s="30">
        <f>622825180</f>
        <v>622825180</v>
      </c>
      <c r="W140" s="30" t="str">
        <f t="shared" si="3"/>
        <v>－</v>
      </c>
      <c r="X140" s="34">
        <f>20</f>
        <v>20</v>
      </c>
    </row>
    <row r="141" spans="1:24" x14ac:dyDescent="0.15">
      <c r="A141" s="25" t="s">
        <v>1041</v>
      </c>
      <c r="B141" s="25" t="s">
        <v>460</v>
      </c>
      <c r="C141" s="25" t="s">
        <v>461</v>
      </c>
      <c r="D141" s="25" t="s">
        <v>462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22505</f>
        <v>22505</v>
      </c>
      <c r="L141" s="32" t="s">
        <v>904</v>
      </c>
      <c r="M141" s="31">
        <f>23275</f>
        <v>23275</v>
      </c>
      <c r="N141" s="32" t="s">
        <v>815</v>
      </c>
      <c r="O141" s="31">
        <f>22180</f>
        <v>22180</v>
      </c>
      <c r="P141" s="32" t="s">
        <v>811</v>
      </c>
      <c r="Q141" s="31">
        <f>22855</f>
        <v>22855</v>
      </c>
      <c r="R141" s="32" t="s">
        <v>934</v>
      </c>
      <c r="S141" s="33">
        <f>22679.5</f>
        <v>22679.5</v>
      </c>
      <c r="T141" s="30">
        <f>609</f>
        <v>609</v>
      </c>
      <c r="U141" s="30" t="str">
        <f t="shared" si="2"/>
        <v>－</v>
      </c>
      <c r="V141" s="30">
        <f>13847195</f>
        <v>13847195</v>
      </c>
      <c r="W141" s="30" t="str">
        <f t="shared" si="3"/>
        <v>－</v>
      </c>
      <c r="X141" s="34">
        <f>20</f>
        <v>20</v>
      </c>
    </row>
    <row r="142" spans="1:24" x14ac:dyDescent="0.15">
      <c r="A142" s="25" t="s">
        <v>1041</v>
      </c>
      <c r="B142" s="25" t="s">
        <v>463</v>
      </c>
      <c r="C142" s="25" t="s">
        <v>464</v>
      </c>
      <c r="D142" s="25" t="s">
        <v>465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8636</f>
        <v>8636</v>
      </c>
      <c r="L142" s="32" t="s">
        <v>904</v>
      </c>
      <c r="M142" s="31">
        <f>9571</f>
        <v>9571</v>
      </c>
      <c r="N142" s="32" t="s">
        <v>94</v>
      </c>
      <c r="O142" s="31">
        <f>8636</f>
        <v>8636</v>
      </c>
      <c r="P142" s="32" t="s">
        <v>904</v>
      </c>
      <c r="Q142" s="31">
        <f>9373</f>
        <v>9373</v>
      </c>
      <c r="R142" s="32" t="s">
        <v>934</v>
      </c>
      <c r="S142" s="33">
        <f>8978.75</f>
        <v>8978.75</v>
      </c>
      <c r="T142" s="30">
        <f>18052</f>
        <v>18052</v>
      </c>
      <c r="U142" s="30" t="str">
        <f t="shared" si="2"/>
        <v>－</v>
      </c>
      <c r="V142" s="30">
        <f>164316202</f>
        <v>164316202</v>
      </c>
      <c r="W142" s="30" t="str">
        <f t="shared" si="3"/>
        <v>－</v>
      </c>
      <c r="X142" s="34">
        <f>20</f>
        <v>20</v>
      </c>
    </row>
    <row r="143" spans="1:24" x14ac:dyDescent="0.15">
      <c r="A143" s="25" t="s">
        <v>1041</v>
      </c>
      <c r="B143" s="25" t="s">
        <v>466</v>
      </c>
      <c r="C143" s="25" t="s">
        <v>467</v>
      </c>
      <c r="D143" s="25" t="s">
        <v>468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14880</f>
        <v>14880</v>
      </c>
      <c r="L143" s="32" t="s">
        <v>904</v>
      </c>
      <c r="M143" s="31">
        <f>15600</f>
        <v>15600</v>
      </c>
      <c r="N143" s="32" t="s">
        <v>94</v>
      </c>
      <c r="O143" s="31">
        <f>14575</f>
        <v>14575</v>
      </c>
      <c r="P143" s="32" t="s">
        <v>819</v>
      </c>
      <c r="Q143" s="31">
        <f>15370</f>
        <v>15370</v>
      </c>
      <c r="R143" s="32" t="s">
        <v>934</v>
      </c>
      <c r="S143" s="33">
        <f>15041</f>
        <v>15041</v>
      </c>
      <c r="T143" s="30">
        <f>1195</f>
        <v>1195</v>
      </c>
      <c r="U143" s="30" t="str">
        <f t="shared" si="2"/>
        <v>－</v>
      </c>
      <c r="V143" s="30">
        <f>18142575</f>
        <v>18142575</v>
      </c>
      <c r="W143" s="30" t="str">
        <f t="shared" si="3"/>
        <v>－</v>
      </c>
      <c r="X143" s="34">
        <f>20</f>
        <v>20</v>
      </c>
    </row>
    <row r="144" spans="1:24" x14ac:dyDescent="0.15">
      <c r="A144" s="25" t="s">
        <v>1041</v>
      </c>
      <c r="B144" s="25" t="s">
        <v>469</v>
      </c>
      <c r="C144" s="25" t="s">
        <v>470</v>
      </c>
      <c r="D144" s="25" t="s">
        <v>471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30980</f>
        <v>30980</v>
      </c>
      <c r="L144" s="32" t="s">
        <v>904</v>
      </c>
      <c r="M144" s="31">
        <f>31720</f>
        <v>31720</v>
      </c>
      <c r="N144" s="32" t="s">
        <v>815</v>
      </c>
      <c r="O144" s="31">
        <f>30130</f>
        <v>30130</v>
      </c>
      <c r="P144" s="32" t="s">
        <v>811</v>
      </c>
      <c r="Q144" s="31">
        <f>31160</f>
        <v>31160</v>
      </c>
      <c r="R144" s="32" t="s">
        <v>934</v>
      </c>
      <c r="S144" s="33">
        <f>30895.79</f>
        <v>30895.79</v>
      </c>
      <c r="T144" s="30">
        <f>727</f>
        <v>727</v>
      </c>
      <c r="U144" s="30" t="str">
        <f t="shared" si="2"/>
        <v>－</v>
      </c>
      <c r="V144" s="30">
        <f>22488130</f>
        <v>22488130</v>
      </c>
      <c r="W144" s="30" t="str">
        <f t="shared" si="3"/>
        <v>－</v>
      </c>
      <c r="X144" s="34">
        <f>19</f>
        <v>19</v>
      </c>
    </row>
    <row r="145" spans="1:24" x14ac:dyDescent="0.15">
      <c r="A145" s="25" t="s">
        <v>1041</v>
      </c>
      <c r="B145" s="25" t="s">
        <v>472</v>
      </c>
      <c r="C145" s="25" t="s">
        <v>473</v>
      </c>
      <c r="D145" s="25" t="s">
        <v>474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1251</f>
        <v>1251</v>
      </c>
      <c r="L145" s="32" t="s">
        <v>904</v>
      </c>
      <c r="M145" s="31">
        <f>1299.5</f>
        <v>1299.5</v>
      </c>
      <c r="N145" s="32" t="s">
        <v>94</v>
      </c>
      <c r="O145" s="31">
        <f>1240</f>
        <v>1240</v>
      </c>
      <c r="P145" s="32" t="s">
        <v>906</v>
      </c>
      <c r="Q145" s="31">
        <f>1279.5</f>
        <v>1279.5</v>
      </c>
      <c r="R145" s="32" t="s">
        <v>934</v>
      </c>
      <c r="S145" s="33">
        <f>1265.23</f>
        <v>1265.23</v>
      </c>
      <c r="T145" s="30">
        <f>1015330</f>
        <v>1015330</v>
      </c>
      <c r="U145" s="30">
        <f>90</f>
        <v>90</v>
      </c>
      <c r="V145" s="30">
        <f>1276995390</f>
        <v>1276995390</v>
      </c>
      <c r="W145" s="30">
        <f>113085</f>
        <v>113085</v>
      </c>
      <c r="X145" s="34">
        <f>20</f>
        <v>20</v>
      </c>
    </row>
    <row r="146" spans="1:24" x14ac:dyDescent="0.15">
      <c r="A146" s="25" t="s">
        <v>1041</v>
      </c>
      <c r="B146" s="25" t="s">
        <v>475</v>
      </c>
      <c r="C146" s="25" t="s">
        <v>476</v>
      </c>
      <c r="D146" s="25" t="s">
        <v>477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2279.5</f>
        <v>2279.5</v>
      </c>
      <c r="L146" s="32" t="s">
        <v>811</v>
      </c>
      <c r="M146" s="31">
        <f>2369</f>
        <v>2369</v>
      </c>
      <c r="N146" s="32" t="s">
        <v>936</v>
      </c>
      <c r="O146" s="31">
        <f>2279.5</f>
        <v>2279.5</v>
      </c>
      <c r="P146" s="32" t="s">
        <v>811</v>
      </c>
      <c r="Q146" s="31">
        <f>2351</f>
        <v>2351</v>
      </c>
      <c r="R146" s="32" t="s">
        <v>934</v>
      </c>
      <c r="S146" s="33">
        <f>2332.06</f>
        <v>2332.06</v>
      </c>
      <c r="T146" s="30">
        <f>2580</f>
        <v>2580</v>
      </c>
      <c r="U146" s="30" t="str">
        <f>"－"</f>
        <v>－</v>
      </c>
      <c r="V146" s="30">
        <f>6061300</f>
        <v>6061300</v>
      </c>
      <c r="W146" s="30" t="str">
        <f>"－"</f>
        <v>－</v>
      </c>
      <c r="X146" s="34">
        <f>8</f>
        <v>8</v>
      </c>
    </row>
    <row r="147" spans="1:24" x14ac:dyDescent="0.15">
      <c r="A147" s="25" t="s">
        <v>1041</v>
      </c>
      <c r="B147" s="25" t="s">
        <v>478</v>
      </c>
      <c r="C147" s="25" t="s">
        <v>479</v>
      </c>
      <c r="D147" s="25" t="s">
        <v>480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2470.5</f>
        <v>2470.5</v>
      </c>
      <c r="L147" s="32" t="s">
        <v>904</v>
      </c>
      <c r="M147" s="31">
        <f>2572</f>
        <v>2572</v>
      </c>
      <c r="N147" s="32" t="s">
        <v>815</v>
      </c>
      <c r="O147" s="31">
        <f>2466.5</f>
        <v>2466.5</v>
      </c>
      <c r="P147" s="32" t="s">
        <v>905</v>
      </c>
      <c r="Q147" s="31">
        <f>2525</f>
        <v>2525</v>
      </c>
      <c r="R147" s="32" t="s">
        <v>934</v>
      </c>
      <c r="S147" s="33">
        <f>2518.11</f>
        <v>2518.11</v>
      </c>
      <c r="T147" s="30">
        <f>8500</f>
        <v>8500</v>
      </c>
      <c r="U147" s="30">
        <f>4050</f>
        <v>4050</v>
      </c>
      <c r="V147" s="30">
        <f>21347835</f>
        <v>21347835</v>
      </c>
      <c r="W147" s="30">
        <f>9987300</f>
        <v>9987300</v>
      </c>
      <c r="X147" s="34">
        <f>18</f>
        <v>18</v>
      </c>
    </row>
    <row r="148" spans="1:24" x14ac:dyDescent="0.15">
      <c r="A148" s="25" t="s">
        <v>1041</v>
      </c>
      <c r="B148" s="25" t="s">
        <v>481</v>
      </c>
      <c r="C148" s="25" t="s">
        <v>482</v>
      </c>
      <c r="D148" s="25" t="s">
        <v>483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1532</f>
        <v>1532</v>
      </c>
      <c r="L148" s="32" t="s">
        <v>904</v>
      </c>
      <c r="M148" s="31">
        <f>1599</f>
        <v>1599</v>
      </c>
      <c r="N148" s="32" t="s">
        <v>820</v>
      </c>
      <c r="O148" s="31">
        <f>1532</f>
        <v>1532</v>
      </c>
      <c r="P148" s="32" t="s">
        <v>904</v>
      </c>
      <c r="Q148" s="31">
        <f>1573</f>
        <v>1573</v>
      </c>
      <c r="R148" s="32" t="s">
        <v>934</v>
      </c>
      <c r="S148" s="33">
        <f>1563.55</f>
        <v>1563.55</v>
      </c>
      <c r="T148" s="30">
        <f>9370</f>
        <v>9370</v>
      </c>
      <c r="U148" s="30" t="str">
        <f>"－"</f>
        <v>－</v>
      </c>
      <c r="V148" s="30">
        <f>14659015</f>
        <v>14659015</v>
      </c>
      <c r="W148" s="30" t="str">
        <f>"－"</f>
        <v>－</v>
      </c>
      <c r="X148" s="34">
        <f>11</f>
        <v>11</v>
      </c>
    </row>
    <row r="149" spans="1:24" x14ac:dyDescent="0.15">
      <c r="A149" s="25" t="s">
        <v>1041</v>
      </c>
      <c r="B149" s="25" t="s">
        <v>484</v>
      </c>
      <c r="C149" s="25" t="s">
        <v>485</v>
      </c>
      <c r="D149" s="25" t="s">
        <v>486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415.1</f>
        <v>415.1</v>
      </c>
      <c r="L149" s="32" t="s">
        <v>904</v>
      </c>
      <c r="M149" s="31">
        <f>415.8</f>
        <v>415.8</v>
      </c>
      <c r="N149" s="32" t="s">
        <v>904</v>
      </c>
      <c r="O149" s="31">
        <f>394.8</f>
        <v>394.8</v>
      </c>
      <c r="P149" s="32" t="s">
        <v>905</v>
      </c>
      <c r="Q149" s="31">
        <f>395.5</f>
        <v>395.5</v>
      </c>
      <c r="R149" s="32" t="s">
        <v>934</v>
      </c>
      <c r="S149" s="33">
        <f>401.51</f>
        <v>401.51</v>
      </c>
      <c r="T149" s="30">
        <f>56690520</f>
        <v>56690520</v>
      </c>
      <c r="U149" s="30">
        <f>5593070</f>
        <v>5593070</v>
      </c>
      <c r="V149" s="30">
        <f>22791453746</f>
        <v>22791453746</v>
      </c>
      <c r="W149" s="30">
        <f>2250232612</f>
        <v>2250232612</v>
      </c>
      <c r="X149" s="34">
        <f>20</f>
        <v>20</v>
      </c>
    </row>
    <row r="150" spans="1:24" x14ac:dyDescent="0.15">
      <c r="A150" s="25" t="s">
        <v>1041</v>
      </c>
      <c r="B150" s="25" t="s">
        <v>487</v>
      </c>
      <c r="C150" s="25" t="s">
        <v>488</v>
      </c>
      <c r="D150" s="25" t="s">
        <v>489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288.9</f>
        <v>288.89999999999998</v>
      </c>
      <c r="L150" s="32" t="s">
        <v>904</v>
      </c>
      <c r="M150" s="31">
        <f>289.8</f>
        <v>289.8</v>
      </c>
      <c r="N150" s="32" t="s">
        <v>904</v>
      </c>
      <c r="O150" s="31">
        <f>274.3</f>
        <v>274.3</v>
      </c>
      <c r="P150" s="32" t="s">
        <v>695</v>
      </c>
      <c r="Q150" s="31">
        <f>277.1</f>
        <v>277.10000000000002</v>
      </c>
      <c r="R150" s="32" t="s">
        <v>934</v>
      </c>
      <c r="S150" s="33">
        <f>280.94</f>
        <v>280.94</v>
      </c>
      <c r="T150" s="30">
        <f>8229040</f>
        <v>8229040</v>
      </c>
      <c r="U150" s="30">
        <f>6342920</f>
        <v>6342920</v>
      </c>
      <c r="V150" s="30">
        <f>2318484035</f>
        <v>2318484035</v>
      </c>
      <c r="W150" s="30">
        <f>1784113635</f>
        <v>1784113635</v>
      </c>
      <c r="X150" s="34">
        <f>20</f>
        <v>20</v>
      </c>
    </row>
    <row r="151" spans="1:24" x14ac:dyDescent="0.15">
      <c r="A151" s="25" t="s">
        <v>1041</v>
      </c>
      <c r="B151" s="25" t="s">
        <v>490</v>
      </c>
      <c r="C151" s="25" t="s">
        <v>491</v>
      </c>
      <c r="D151" s="25" t="s">
        <v>492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3540</f>
        <v>3540</v>
      </c>
      <c r="L151" s="32" t="s">
        <v>904</v>
      </c>
      <c r="M151" s="31">
        <f>3545</f>
        <v>3545</v>
      </c>
      <c r="N151" s="32" t="s">
        <v>904</v>
      </c>
      <c r="O151" s="31">
        <f>3390</f>
        <v>3390</v>
      </c>
      <c r="P151" s="32" t="s">
        <v>811</v>
      </c>
      <c r="Q151" s="31">
        <f>3445</f>
        <v>3445</v>
      </c>
      <c r="R151" s="32" t="s">
        <v>934</v>
      </c>
      <c r="S151" s="33">
        <f>3470.75</f>
        <v>3470.75</v>
      </c>
      <c r="T151" s="30">
        <f>50740</f>
        <v>50740</v>
      </c>
      <c r="U151" s="30">
        <f>3220</f>
        <v>3220</v>
      </c>
      <c r="V151" s="30">
        <f>175482457</f>
        <v>175482457</v>
      </c>
      <c r="W151" s="30">
        <f>11059637</f>
        <v>11059637</v>
      </c>
      <c r="X151" s="34">
        <f>20</f>
        <v>20</v>
      </c>
    </row>
    <row r="152" spans="1:24" x14ac:dyDescent="0.15">
      <c r="A152" s="25" t="s">
        <v>1041</v>
      </c>
      <c r="B152" s="25" t="s">
        <v>493</v>
      </c>
      <c r="C152" s="25" t="s">
        <v>494</v>
      </c>
      <c r="D152" s="25" t="s">
        <v>495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2100</f>
        <v>2100</v>
      </c>
      <c r="L152" s="32" t="s">
        <v>904</v>
      </c>
      <c r="M152" s="31">
        <f>2241</f>
        <v>2241</v>
      </c>
      <c r="N152" s="32" t="s">
        <v>906</v>
      </c>
      <c r="O152" s="31">
        <f>2098</f>
        <v>2098</v>
      </c>
      <c r="P152" s="32" t="s">
        <v>904</v>
      </c>
      <c r="Q152" s="31">
        <f>2211</f>
        <v>2211</v>
      </c>
      <c r="R152" s="32" t="s">
        <v>934</v>
      </c>
      <c r="S152" s="33">
        <f>2191.35</f>
        <v>2191.35</v>
      </c>
      <c r="T152" s="30">
        <f>332934</f>
        <v>332934</v>
      </c>
      <c r="U152" s="30">
        <f>4</f>
        <v>4</v>
      </c>
      <c r="V152" s="30">
        <f>728050415</f>
        <v>728050415</v>
      </c>
      <c r="W152" s="30">
        <f>8800</f>
        <v>8800</v>
      </c>
      <c r="X152" s="34">
        <f>20</f>
        <v>20</v>
      </c>
    </row>
    <row r="153" spans="1:24" x14ac:dyDescent="0.15">
      <c r="A153" s="25" t="s">
        <v>1041</v>
      </c>
      <c r="B153" s="25" t="s">
        <v>496</v>
      </c>
      <c r="C153" s="25" t="s">
        <v>497</v>
      </c>
      <c r="D153" s="25" t="s">
        <v>498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2763</f>
        <v>2763</v>
      </c>
      <c r="L153" s="32" t="s">
        <v>904</v>
      </c>
      <c r="M153" s="31">
        <f>2782</f>
        <v>2782</v>
      </c>
      <c r="N153" s="32" t="s">
        <v>904</v>
      </c>
      <c r="O153" s="31">
        <f>2595</f>
        <v>2595</v>
      </c>
      <c r="P153" s="32" t="s">
        <v>936</v>
      </c>
      <c r="Q153" s="31">
        <f>2642</f>
        <v>2642</v>
      </c>
      <c r="R153" s="32" t="s">
        <v>934</v>
      </c>
      <c r="S153" s="33">
        <f>2668.45</f>
        <v>2668.45</v>
      </c>
      <c r="T153" s="30">
        <f>121592</f>
        <v>121592</v>
      </c>
      <c r="U153" s="30" t="str">
        <f>"－"</f>
        <v>－</v>
      </c>
      <c r="V153" s="30">
        <f>324905400</f>
        <v>324905400</v>
      </c>
      <c r="W153" s="30" t="str">
        <f>"－"</f>
        <v>－</v>
      </c>
      <c r="X153" s="34">
        <f>20</f>
        <v>20</v>
      </c>
    </row>
    <row r="154" spans="1:24" x14ac:dyDescent="0.15">
      <c r="A154" s="25" t="s">
        <v>1041</v>
      </c>
      <c r="B154" s="25" t="s">
        <v>499</v>
      </c>
      <c r="C154" s="25" t="s">
        <v>500</v>
      </c>
      <c r="D154" s="25" t="s">
        <v>501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11275</f>
        <v>11275</v>
      </c>
      <c r="L154" s="32" t="s">
        <v>904</v>
      </c>
      <c r="M154" s="31">
        <f>11410</f>
        <v>11410</v>
      </c>
      <c r="N154" s="32" t="s">
        <v>909</v>
      </c>
      <c r="O154" s="31">
        <f>10920</f>
        <v>10920</v>
      </c>
      <c r="P154" s="32" t="s">
        <v>811</v>
      </c>
      <c r="Q154" s="31">
        <f>11225</f>
        <v>11225</v>
      </c>
      <c r="R154" s="32" t="s">
        <v>934</v>
      </c>
      <c r="S154" s="33">
        <f>11147.75</f>
        <v>11147.75</v>
      </c>
      <c r="T154" s="30">
        <f>13044</f>
        <v>13044</v>
      </c>
      <c r="U154" s="30" t="str">
        <f>"－"</f>
        <v>－</v>
      </c>
      <c r="V154" s="30">
        <f>145448880</f>
        <v>145448880</v>
      </c>
      <c r="W154" s="30" t="str">
        <f>"－"</f>
        <v>－</v>
      </c>
      <c r="X154" s="34">
        <f>20</f>
        <v>20</v>
      </c>
    </row>
    <row r="155" spans="1:24" x14ac:dyDescent="0.15">
      <c r="A155" s="25" t="s">
        <v>1041</v>
      </c>
      <c r="B155" s="25" t="s">
        <v>502</v>
      </c>
      <c r="C155" s="25" t="s">
        <v>503</v>
      </c>
      <c r="D155" s="25" t="s">
        <v>504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3025</f>
        <v>3025</v>
      </c>
      <c r="L155" s="32" t="s">
        <v>904</v>
      </c>
      <c r="M155" s="31">
        <f>3195</f>
        <v>3195</v>
      </c>
      <c r="N155" s="32" t="s">
        <v>912</v>
      </c>
      <c r="O155" s="31">
        <f>2460</f>
        <v>2460</v>
      </c>
      <c r="P155" s="32" t="s">
        <v>94</v>
      </c>
      <c r="Q155" s="31">
        <f>2610</f>
        <v>2610</v>
      </c>
      <c r="R155" s="32" t="s">
        <v>934</v>
      </c>
      <c r="S155" s="33">
        <f>2857.45</f>
        <v>2857.45</v>
      </c>
      <c r="T155" s="30">
        <f>9336271</f>
        <v>9336271</v>
      </c>
      <c r="U155" s="30">
        <f>6493</f>
        <v>6493</v>
      </c>
      <c r="V155" s="30">
        <f>26117705346</f>
        <v>26117705346</v>
      </c>
      <c r="W155" s="30">
        <f>19893810</f>
        <v>19893810</v>
      </c>
      <c r="X155" s="34">
        <f>20</f>
        <v>20</v>
      </c>
    </row>
    <row r="156" spans="1:24" x14ac:dyDescent="0.15">
      <c r="A156" s="25" t="s">
        <v>1041</v>
      </c>
      <c r="B156" s="25" t="s">
        <v>505</v>
      </c>
      <c r="C156" s="25" t="s">
        <v>506</v>
      </c>
      <c r="D156" s="25" t="s">
        <v>507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22875</f>
        <v>22875</v>
      </c>
      <c r="L156" s="32" t="s">
        <v>904</v>
      </c>
      <c r="M156" s="31">
        <f>23630</f>
        <v>23630</v>
      </c>
      <c r="N156" s="32" t="s">
        <v>821</v>
      </c>
      <c r="O156" s="31">
        <f>22730</f>
        <v>22730</v>
      </c>
      <c r="P156" s="32" t="s">
        <v>811</v>
      </c>
      <c r="Q156" s="31">
        <f>22935</f>
        <v>22935</v>
      </c>
      <c r="R156" s="32" t="s">
        <v>934</v>
      </c>
      <c r="S156" s="33">
        <f>23119.25</f>
        <v>23119.25</v>
      </c>
      <c r="T156" s="30">
        <f>2937</f>
        <v>2937</v>
      </c>
      <c r="U156" s="30" t="str">
        <f>"－"</f>
        <v>－</v>
      </c>
      <c r="V156" s="30">
        <f>67844065</f>
        <v>67844065</v>
      </c>
      <c r="W156" s="30" t="str">
        <f>"－"</f>
        <v>－</v>
      </c>
      <c r="X156" s="34">
        <f>20</f>
        <v>20</v>
      </c>
    </row>
    <row r="157" spans="1:24" x14ac:dyDescent="0.15">
      <c r="A157" s="25" t="s">
        <v>1041</v>
      </c>
      <c r="B157" s="25" t="s">
        <v>508</v>
      </c>
      <c r="C157" s="25" t="s">
        <v>509</v>
      </c>
      <c r="D157" s="25" t="s">
        <v>510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2655</f>
        <v>2655</v>
      </c>
      <c r="L157" s="32" t="s">
        <v>904</v>
      </c>
      <c r="M157" s="31">
        <f>2885</f>
        <v>2885</v>
      </c>
      <c r="N157" s="32" t="s">
        <v>911</v>
      </c>
      <c r="O157" s="31">
        <f>2651.5</f>
        <v>2651.5</v>
      </c>
      <c r="P157" s="32" t="s">
        <v>904</v>
      </c>
      <c r="Q157" s="31">
        <f>2746</f>
        <v>2746</v>
      </c>
      <c r="R157" s="32" t="s">
        <v>934</v>
      </c>
      <c r="S157" s="33">
        <f>2768.55</f>
        <v>2768.55</v>
      </c>
      <c r="T157" s="30">
        <f>29780</f>
        <v>29780</v>
      </c>
      <c r="U157" s="30" t="str">
        <f>"－"</f>
        <v>－</v>
      </c>
      <c r="V157" s="30">
        <f>82942220</f>
        <v>82942220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1041</v>
      </c>
      <c r="B158" s="25" t="s">
        <v>511</v>
      </c>
      <c r="C158" s="25" t="s">
        <v>512</v>
      </c>
      <c r="D158" s="25" t="s">
        <v>513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12920</f>
        <v>12920</v>
      </c>
      <c r="L158" s="32" t="s">
        <v>904</v>
      </c>
      <c r="M158" s="31">
        <f>13705</f>
        <v>13705</v>
      </c>
      <c r="N158" s="32" t="s">
        <v>821</v>
      </c>
      <c r="O158" s="31">
        <f>12510</f>
        <v>12510</v>
      </c>
      <c r="P158" s="32" t="s">
        <v>94</v>
      </c>
      <c r="Q158" s="31">
        <f>12890</f>
        <v>12890</v>
      </c>
      <c r="R158" s="32" t="s">
        <v>934</v>
      </c>
      <c r="S158" s="33">
        <f>13015.53</f>
        <v>13015.53</v>
      </c>
      <c r="T158" s="30">
        <f>3116</f>
        <v>3116</v>
      </c>
      <c r="U158" s="30" t="str">
        <f>"－"</f>
        <v>－</v>
      </c>
      <c r="V158" s="30">
        <f>40834865</f>
        <v>40834865</v>
      </c>
      <c r="W158" s="30" t="str">
        <f>"－"</f>
        <v>－</v>
      </c>
      <c r="X158" s="34">
        <f>19</f>
        <v>19</v>
      </c>
    </row>
    <row r="159" spans="1:24" x14ac:dyDescent="0.15">
      <c r="A159" s="25" t="s">
        <v>1041</v>
      </c>
      <c r="B159" s="25" t="s">
        <v>514</v>
      </c>
      <c r="C159" s="25" t="s">
        <v>515</v>
      </c>
      <c r="D159" s="25" t="s">
        <v>516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25705</f>
        <v>25705</v>
      </c>
      <c r="L159" s="32" t="s">
        <v>904</v>
      </c>
      <c r="M159" s="31">
        <f>27000</f>
        <v>27000</v>
      </c>
      <c r="N159" s="32" t="s">
        <v>906</v>
      </c>
      <c r="O159" s="31">
        <f>23630</f>
        <v>23630</v>
      </c>
      <c r="P159" s="32" t="s">
        <v>94</v>
      </c>
      <c r="Q159" s="31">
        <f>24295</f>
        <v>24295</v>
      </c>
      <c r="R159" s="32" t="s">
        <v>934</v>
      </c>
      <c r="S159" s="33">
        <f>25532.75</f>
        <v>25532.75</v>
      </c>
      <c r="T159" s="30">
        <f>2282</f>
        <v>2282</v>
      </c>
      <c r="U159" s="30" t="str">
        <f>"－"</f>
        <v>－</v>
      </c>
      <c r="V159" s="30">
        <f>57900590</f>
        <v>57900590</v>
      </c>
      <c r="W159" s="30" t="str">
        <f>"－"</f>
        <v>－</v>
      </c>
      <c r="X159" s="34">
        <f>20</f>
        <v>20</v>
      </c>
    </row>
    <row r="160" spans="1:24" x14ac:dyDescent="0.15">
      <c r="A160" s="25" t="s">
        <v>1041</v>
      </c>
      <c r="B160" s="25" t="s">
        <v>517</v>
      </c>
      <c r="C160" s="25" t="s">
        <v>518</v>
      </c>
      <c r="D160" s="25" t="s">
        <v>519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19265</f>
        <v>19265</v>
      </c>
      <c r="L160" s="32" t="s">
        <v>904</v>
      </c>
      <c r="M160" s="31">
        <f>20000</f>
        <v>20000</v>
      </c>
      <c r="N160" s="32" t="s">
        <v>821</v>
      </c>
      <c r="O160" s="31">
        <f>18205</f>
        <v>18205</v>
      </c>
      <c r="P160" s="32" t="s">
        <v>811</v>
      </c>
      <c r="Q160" s="31">
        <f>18420</f>
        <v>18420</v>
      </c>
      <c r="R160" s="32" t="s">
        <v>934</v>
      </c>
      <c r="S160" s="33">
        <f>19113.57</f>
        <v>19113.57</v>
      </c>
      <c r="T160" s="30">
        <f>287</f>
        <v>287</v>
      </c>
      <c r="U160" s="30" t="str">
        <f>"－"</f>
        <v>－</v>
      </c>
      <c r="V160" s="30">
        <f>5509420</f>
        <v>5509420</v>
      </c>
      <c r="W160" s="30" t="str">
        <f>"－"</f>
        <v>－</v>
      </c>
      <c r="X160" s="34">
        <f>14</f>
        <v>14</v>
      </c>
    </row>
    <row r="161" spans="1:24" x14ac:dyDescent="0.15">
      <c r="A161" s="25" t="s">
        <v>1041</v>
      </c>
      <c r="B161" s="25" t="s">
        <v>520</v>
      </c>
      <c r="C161" s="25" t="s">
        <v>521</v>
      </c>
      <c r="D161" s="25" t="s">
        <v>522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52190</f>
        <v>52190</v>
      </c>
      <c r="L161" s="32" t="s">
        <v>904</v>
      </c>
      <c r="M161" s="31">
        <f>52460</f>
        <v>52460</v>
      </c>
      <c r="N161" s="32" t="s">
        <v>909</v>
      </c>
      <c r="O161" s="31">
        <f>50450</f>
        <v>50450</v>
      </c>
      <c r="P161" s="32" t="s">
        <v>695</v>
      </c>
      <c r="Q161" s="31">
        <f>51100</f>
        <v>51100</v>
      </c>
      <c r="R161" s="32" t="s">
        <v>934</v>
      </c>
      <c r="S161" s="33">
        <f>51399</f>
        <v>51399</v>
      </c>
      <c r="T161" s="30">
        <f>20470</f>
        <v>20470</v>
      </c>
      <c r="U161" s="30">
        <f>15430</f>
        <v>15430</v>
      </c>
      <c r="V161" s="30">
        <f>1047472200</f>
        <v>1047472200</v>
      </c>
      <c r="W161" s="30">
        <f>789470000</f>
        <v>789470000</v>
      </c>
      <c r="X161" s="34">
        <f>20</f>
        <v>20</v>
      </c>
    </row>
    <row r="162" spans="1:24" x14ac:dyDescent="0.15">
      <c r="A162" s="25" t="s">
        <v>1041</v>
      </c>
      <c r="B162" s="25" t="s">
        <v>523</v>
      </c>
      <c r="C162" s="25" t="s">
        <v>524</v>
      </c>
      <c r="D162" s="25" t="s">
        <v>525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290.1</f>
        <v>290.10000000000002</v>
      </c>
      <c r="L162" s="32" t="s">
        <v>904</v>
      </c>
      <c r="M162" s="31">
        <f>297</f>
        <v>297</v>
      </c>
      <c r="N162" s="32" t="s">
        <v>911</v>
      </c>
      <c r="O162" s="31">
        <f>280.1</f>
        <v>280.10000000000002</v>
      </c>
      <c r="P162" s="32" t="s">
        <v>66</v>
      </c>
      <c r="Q162" s="31">
        <f>285.6</f>
        <v>285.60000000000002</v>
      </c>
      <c r="R162" s="32" t="s">
        <v>934</v>
      </c>
      <c r="S162" s="33">
        <f>287.15</f>
        <v>287.14999999999998</v>
      </c>
      <c r="T162" s="30">
        <f>19191000</f>
        <v>19191000</v>
      </c>
      <c r="U162" s="30">
        <f>1600</f>
        <v>1600</v>
      </c>
      <c r="V162" s="30">
        <f>5515101400</f>
        <v>5515101400</v>
      </c>
      <c r="W162" s="30">
        <f>466000</f>
        <v>466000</v>
      </c>
      <c r="X162" s="34">
        <f>20</f>
        <v>20</v>
      </c>
    </row>
    <row r="163" spans="1:24" x14ac:dyDescent="0.15">
      <c r="A163" s="25" t="s">
        <v>1041</v>
      </c>
      <c r="B163" s="25" t="s">
        <v>526</v>
      </c>
      <c r="C163" s="25" t="s">
        <v>527</v>
      </c>
      <c r="D163" s="25" t="s">
        <v>528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42150</f>
        <v>42150</v>
      </c>
      <c r="L163" s="32" t="s">
        <v>904</v>
      </c>
      <c r="M163" s="31">
        <f>42290</f>
        <v>42290</v>
      </c>
      <c r="N163" s="32" t="s">
        <v>904</v>
      </c>
      <c r="O163" s="31">
        <f>40410</f>
        <v>40410</v>
      </c>
      <c r="P163" s="32" t="s">
        <v>906</v>
      </c>
      <c r="Q163" s="31">
        <f>40710</f>
        <v>40710</v>
      </c>
      <c r="R163" s="32" t="s">
        <v>934</v>
      </c>
      <c r="S163" s="33">
        <f>41221.5</f>
        <v>41221.5</v>
      </c>
      <c r="T163" s="30">
        <f>10840</f>
        <v>10840</v>
      </c>
      <c r="U163" s="30">
        <f>20</f>
        <v>20</v>
      </c>
      <c r="V163" s="30">
        <f>447899400</f>
        <v>447899400</v>
      </c>
      <c r="W163" s="30">
        <f>822400</f>
        <v>822400</v>
      </c>
      <c r="X163" s="34">
        <f>20</f>
        <v>20</v>
      </c>
    </row>
    <row r="164" spans="1:24" x14ac:dyDescent="0.15">
      <c r="A164" s="25" t="s">
        <v>1041</v>
      </c>
      <c r="B164" s="25" t="s">
        <v>529</v>
      </c>
      <c r="C164" s="25" t="s">
        <v>530</v>
      </c>
      <c r="D164" s="25" t="s">
        <v>531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4049</f>
        <v>4049</v>
      </c>
      <c r="L164" s="32" t="s">
        <v>904</v>
      </c>
      <c r="M164" s="31">
        <f>4065</f>
        <v>4065</v>
      </c>
      <c r="N164" s="32" t="s">
        <v>904</v>
      </c>
      <c r="O164" s="31">
        <f>3890</f>
        <v>3890</v>
      </c>
      <c r="P164" s="32" t="s">
        <v>811</v>
      </c>
      <c r="Q164" s="31">
        <f>3941</f>
        <v>3941</v>
      </c>
      <c r="R164" s="32" t="s">
        <v>934</v>
      </c>
      <c r="S164" s="33">
        <f>3974.55</f>
        <v>3974.55</v>
      </c>
      <c r="T164" s="30">
        <f>37300</f>
        <v>37300</v>
      </c>
      <c r="U164" s="30">
        <f>80</f>
        <v>80</v>
      </c>
      <c r="V164" s="30">
        <f>148265260</f>
        <v>148265260</v>
      </c>
      <c r="W164" s="30">
        <f>325000</f>
        <v>325000</v>
      </c>
      <c r="X164" s="34">
        <f>20</f>
        <v>20</v>
      </c>
    </row>
    <row r="165" spans="1:24" x14ac:dyDescent="0.15">
      <c r="A165" s="25" t="s">
        <v>1041</v>
      </c>
      <c r="B165" s="25" t="s">
        <v>532</v>
      </c>
      <c r="C165" s="25" t="s">
        <v>533</v>
      </c>
      <c r="D165" s="25" t="s">
        <v>534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1622</f>
        <v>1622</v>
      </c>
      <c r="L165" s="32" t="s">
        <v>904</v>
      </c>
      <c r="M165" s="31">
        <f>1726</f>
        <v>1726</v>
      </c>
      <c r="N165" s="32" t="s">
        <v>915</v>
      </c>
      <c r="O165" s="31">
        <f>1617.5</f>
        <v>1617.5</v>
      </c>
      <c r="P165" s="32" t="s">
        <v>904</v>
      </c>
      <c r="Q165" s="31">
        <f>1705</f>
        <v>1705</v>
      </c>
      <c r="R165" s="32" t="s">
        <v>934</v>
      </c>
      <c r="S165" s="33">
        <f>1678.4</f>
        <v>1678.4</v>
      </c>
      <c r="T165" s="30">
        <f>119320</f>
        <v>119320</v>
      </c>
      <c r="U165" s="30" t="str">
        <f t="shared" ref="U165:U171" si="4">"－"</f>
        <v>－</v>
      </c>
      <c r="V165" s="30">
        <f>199600820</f>
        <v>199600820</v>
      </c>
      <c r="W165" s="30" t="str">
        <f t="shared" ref="W165:W171" si="5">"－"</f>
        <v>－</v>
      </c>
      <c r="X165" s="34">
        <f>20</f>
        <v>20</v>
      </c>
    </row>
    <row r="166" spans="1:24" x14ac:dyDescent="0.15">
      <c r="A166" s="25" t="s">
        <v>1041</v>
      </c>
      <c r="B166" s="25" t="s">
        <v>535</v>
      </c>
      <c r="C166" s="25" t="s">
        <v>536</v>
      </c>
      <c r="D166" s="25" t="s">
        <v>537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100</v>
      </c>
      <c r="K166" s="31">
        <f>227</f>
        <v>227</v>
      </c>
      <c r="L166" s="32" t="s">
        <v>904</v>
      </c>
      <c r="M166" s="31">
        <f>245</f>
        <v>245</v>
      </c>
      <c r="N166" s="32" t="s">
        <v>911</v>
      </c>
      <c r="O166" s="31">
        <f>219</f>
        <v>219</v>
      </c>
      <c r="P166" s="32" t="s">
        <v>912</v>
      </c>
      <c r="Q166" s="31">
        <f>234</f>
        <v>234</v>
      </c>
      <c r="R166" s="32" t="s">
        <v>934</v>
      </c>
      <c r="S166" s="33">
        <f>233.18</f>
        <v>233.18</v>
      </c>
      <c r="T166" s="30">
        <f>165600</f>
        <v>165600</v>
      </c>
      <c r="U166" s="30" t="str">
        <f t="shared" si="4"/>
        <v>－</v>
      </c>
      <c r="V166" s="30">
        <f>38729320</f>
        <v>38729320</v>
      </c>
      <c r="W166" s="30" t="str">
        <f t="shared" si="5"/>
        <v>－</v>
      </c>
      <c r="X166" s="34">
        <f>20</f>
        <v>20</v>
      </c>
    </row>
    <row r="167" spans="1:24" x14ac:dyDescent="0.15">
      <c r="A167" s="25" t="s">
        <v>1041</v>
      </c>
      <c r="B167" s="25" t="s">
        <v>538</v>
      </c>
      <c r="C167" s="25" t="s">
        <v>539</v>
      </c>
      <c r="D167" s="25" t="s">
        <v>540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1760</f>
        <v>1760</v>
      </c>
      <c r="L167" s="32" t="s">
        <v>904</v>
      </c>
      <c r="M167" s="31">
        <f>1798</f>
        <v>1798</v>
      </c>
      <c r="N167" s="32" t="s">
        <v>811</v>
      </c>
      <c r="O167" s="31">
        <f>1612</f>
        <v>1612</v>
      </c>
      <c r="P167" s="32" t="s">
        <v>934</v>
      </c>
      <c r="Q167" s="31">
        <f>1653.5</f>
        <v>1653.5</v>
      </c>
      <c r="R167" s="32" t="s">
        <v>934</v>
      </c>
      <c r="S167" s="33">
        <f>1716.06</f>
        <v>1716.06</v>
      </c>
      <c r="T167" s="30">
        <f>3700</f>
        <v>3700</v>
      </c>
      <c r="U167" s="30" t="str">
        <f t="shared" si="4"/>
        <v>－</v>
      </c>
      <c r="V167" s="30">
        <f>6345130</f>
        <v>6345130</v>
      </c>
      <c r="W167" s="30" t="str">
        <f t="shared" si="5"/>
        <v>－</v>
      </c>
      <c r="X167" s="34">
        <f>18</f>
        <v>18</v>
      </c>
    </row>
    <row r="168" spans="1:24" x14ac:dyDescent="0.15">
      <c r="A168" s="25" t="s">
        <v>1041</v>
      </c>
      <c r="B168" s="25" t="s">
        <v>541</v>
      </c>
      <c r="C168" s="25" t="s">
        <v>542</v>
      </c>
      <c r="D168" s="25" t="s">
        <v>543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753.3</f>
        <v>753.3</v>
      </c>
      <c r="L168" s="32" t="s">
        <v>904</v>
      </c>
      <c r="M168" s="31">
        <f>799.7</f>
        <v>799.7</v>
      </c>
      <c r="N168" s="32" t="s">
        <v>70</v>
      </c>
      <c r="O168" s="31">
        <f>670</f>
        <v>670</v>
      </c>
      <c r="P168" s="32" t="s">
        <v>94</v>
      </c>
      <c r="Q168" s="31">
        <f>690.1</f>
        <v>690.1</v>
      </c>
      <c r="R168" s="32" t="s">
        <v>934</v>
      </c>
      <c r="S168" s="33">
        <f>727.82</f>
        <v>727.82</v>
      </c>
      <c r="T168" s="30">
        <f>42570</f>
        <v>42570</v>
      </c>
      <c r="U168" s="30" t="str">
        <f t="shared" si="4"/>
        <v>－</v>
      </c>
      <c r="V168" s="30">
        <f>31335017</f>
        <v>31335017</v>
      </c>
      <c r="W168" s="30" t="str">
        <f t="shared" si="5"/>
        <v>－</v>
      </c>
      <c r="X168" s="34">
        <f>20</f>
        <v>20</v>
      </c>
    </row>
    <row r="169" spans="1:24" x14ac:dyDescent="0.15">
      <c r="A169" s="25" t="s">
        <v>1041</v>
      </c>
      <c r="B169" s="25" t="s">
        <v>544</v>
      </c>
      <c r="C169" s="25" t="s">
        <v>545</v>
      </c>
      <c r="D169" s="25" t="s">
        <v>546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2069</f>
        <v>2069</v>
      </c>
      <c r="L169" s="32" t="s">
        <v>904</v>
      </c>
      <c r="M169" s="31">
        <f>2300</f>
        <v>2300</v>
      </c>
      <c r="N169" s="32" t="s">
        <v>906</v>
      </c>
      <c r="O169" s="31">
        <f>2058</f>
        <v>2058</v>
      </c>
      <c r="P169" s="32" t="s">
        <v>904</v>
      </c>
      <c r="Q169" s="31">
        <f>2137.5</f>
        <v>2137.5</v>
      </c>
      <c r="R169" s="32" t="s">
        <v>936</v>
      </c>
      <c r="S169" s="33">
        <f>2166.11</f>
        <v>2166.11</v>
      </c>
      <c r="T169" s="30">
        <f>2590</f>
        <v>2590</v>
      </c>
      <c r="U169" s="30" t="str">
        <f t="shared" si="4"/>
        <v>－</v>
      </c>
      <c r="V169" s="30">
        <f>5623760</f>
        <v>5623760</v>
      </c>
      <c r="W169" s="30" t="str">
        <f t="shared" si="5"/>
        <v>－</v>
      </c>
      <c r="X169" s="34">
        <f>19</f>
        <v>19</v>
      </c>
    </row>
    <row r="170" spans="1:24" x14ac:dyDescent="0.15">
      <c r="A170" s="25" t="s">
        <v>1041</v>
      </c>
      <c r="B170" s="25" t="s">
        <v>547</v>
      </c>
      <c r="C170" s="25" t="s">
        <v>548</v>
      </c>
      <c r="D170" s="25" t="s">
        <v>549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981.3</f>
        <v>981.3</v>
      </c>
      <c r="L170" s="32" t="s">
        <v>904</v>
      </c>
      <c r="M170" s="31">
        <f>994</f>
        <v>994</v>
      </c>
      <c r="N170" s="32" t="s">
        <v>909</v>
      </c>
      <c r="O170" s="31">
        <f>885.8</f>
        <v>885.8</v>
      </c>
      <c r="P170" s="32" t="s">
        <v>94</v>
      </c>
      <c r="Q170" s="31">
        <f>895.5</f>
        <v>895.5</v>
      </c>
      <c r="R170" s="32" t="s">
        <v>934</v>
      </c>
      <c r="S170" s="33">
        <f>937.39</f>
        <v>937.39</v>
      </c>
      <c r="T170" s="30">
        <f>75530</f>
        <v>75530</v>
      </c>
      <c r="U170" s="30" t="str">
        <f t="shared" si="4"/>
        <v>－</v>
      </c>
      <c r="V170" s="30">
        <f>71828581</f>
        <v>71828581</v>
      </c>
      <c r="W170" s="30" t="str">
        <f t="shared" si="5"/>
        <v>－</v>
      </c>
      <c r="X170" s="34">
        <f>20</f>
        <v>20</v>
      </c>
    </row>
    <row r="171" spans="1:24" x14ac:dyDescent="0.15">
      <c r="A171" s="25" t="s">
        <v>1041</v>
      </c>
      <c r="B171" s="25" t="s">
        <v>550</v>
      </c>
      <c r="C171" s="25" t="s">
        <v>551</v>
      </c>
      <c r="D171" s="25" t="s">
        <v>552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737</f>
        <v>737</v>
      </c>
      <c r="L171" s="32" t="s">
        <v>904</v>
      </c>
      <c r="M171" s="31">
        <f>746.8</f>
        <v>746.8</v>
      </c>
      <c r="N171" s="32" t="s">
        <v>909</v>
      </c>
      <c r="O171" s="31">
        <f>654.4</f>
        <v>654.4</v>
      </c>
      <c r="P171" s="32" t="s">
        <v>936</v>
      </c>
      <c r="Q171" s="31">
        <f>667.4</f>
        <v>667.4</v>
      </c>
      <c r="R171" s="32" t="s">
        <v>934</v>
      </c>
      <c r="S171" s="33">
        <f>691.72</f>
        <v>691.72</v>
      </c>
      <c r="T171" s="30">
        <f>229790</f>
        <v>229790</v>
      </c>
      <c r="U171" s="30" t="str">
        <f t="shared" si="4"/>
        <v>－</v>
      </c>
      <c r="V171" s="30">
        <f>159091343</f>
        <v>159091343</v>
      </c>
      <c r="W171" s="30" t="str">
        <f t="shared" si="5"/>
        <v>－</v>
      </c>
      <c r="X171" s="34">
        <f>20</f>
        <v>20</v>
      </c>
    </row>
    <row r="172" spans="1:24" x14ac:dyDescent="0.15">
      <c r="A172" s="25" t="s">
        <v>1041</v>
      </c>
      <c r="B172" s="25" t="s">
        <v>553</v>
      </c>
      <c r="C172" s="25" t="s">
        <v>554</v>
      </c>
      <c r="D172" s="25" t="s">
        <v>555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100</v>
      </c>
      <c r="K172" s="31">
        <f>3.8</f>
        <v>3.8</v>
      </c>
      <c r="L172" s="32" t="s">
        <v>904</v>
      </c>
      <c r="M172" s="31">
        <f>4.2</f>
        <v>4.2</v>
      </c>
      <c r="N172" s="32" t="s">
        <v>820</v>
      </c>
      <c r="O172" s="31">
        <f>3.4</f>
        <v>3.4</v>
      </c>
      <c r="P172" s="32" t="s">
        <v>695</v>
      </c>
      <c r="Q172" s="31">
        <f>3.8</f>
        <v>3.8</v>
      </c>
      <c r="R172" s="32" t="s">
        <v>934</v>
      </c>
      <c r="S172" s="33">
        <f>3.7</f>
        <v>3.7</v>
      </c>
      <c r="T172" s="30">
        <f>586574500</f>
        <v>586574500</v>
      </c>
      <c r="U172" s="30">
        <f>600000</f>
        <v>600000</v>
      </c>
      <c r="V172" s="30">
        <f>2227685810</f>
        <v>2227685810</v>
      </c>
      <c r="W172" s="30">
        <f>2150000</f>
        <v>2150000</v>
      </c>
      <c r="X172" s="34">
        <f>20</f>
        <v>20</v>
      </c>
    </row>
    <row r="173" spans="1:24" x14ac:dyDescent="0.15">
      <c r="A173" s="25" t="s">
        <v>1041</v>
      </c>
      <c r="B173" s="25" t="s">
        <v>556</v>
      </c>
      <c r="C173" s="25" t="s">
        <v>557</v>
      </c>
      <c r="D173" s="25" t="s">
        <v>558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1410</f>
        <v>1410</v>
      </c>
      <c r="L173" s="32" t="s">
        <v>904</v>
      </c>
      <c r="M173" s="31">
        <f>1496</f>
        <v>1496</v>
      </c>
      <c r="N173" s="32" t="s">
        <v>912</v>
      </c>
      <c r="O173" s="31">
        <f>1183</f>
        <v>1183</v>
      </c>
      <c r="P173" s="32" t="s">
        <v>94</v>
      </c>
      <c r="Q173" s="31">
        <f>1247</f>
        <v>1247</v>
      </c>
      <c r="R173" s="32" t="s">
        <v>934</v>
      </c>
      <c r="S173" s="33">
        <f>1349.05</f>
        <v>1349.05</v>
      </c>
      <c r="T173" s="30">
        <f>146950</f>
        <v>146950</v>
      </c>
      <c r="U173" s="30" t="str">
        <f t="shared" ref="U173:U180" si="6">"－"</f>
        <v>－</v>
      </c>
      <c r="V173" s="30">
        <f>192098940</f>
        <v>192098940</v>
      </c>
      <c r="W173" s="30" t="str">
        <f t="shared" ref="W173:W180" si="7">"－"</f>
        <v>－</v>
      </c>
      <c r="X173" s="34">
        <f>20</f>
        <v>20</v>
      </c>
    </row>
    <row r="174" spans="1:24" x14ac:dyDescent="0.15">
      <c r="A174" s="25" t="s">
        <v>1041</v>
      </c>
      <c r="B174" s="25" t="s">
        <v>559</v>
      </c>
      <c r="C174" s="25" t="s">
        <v>560</v>
      </c>
      <c r="D174" s="25" t="s">
        <v>561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</v>
      </c>
      <c r="K174" s="31">
        <f>6780</f>
        <v>6780</v>
      </c>
      <c r="L174" s="32" t="s">
        <v>904</v>
      </c>
      <c r="M174" s="31">
        <f>7370</f>
        <v>7370</v>
      </c>
      <c r="N174" s="32" t="s">
        <v>811</v>
      </c>
      <c r="O174" s="31">
        <f>5840</f>
        <v>5840</v>
      </c>
      <c r="P174" s="32" t="s">
        <v>94</v>
      </c>
      <c r="Q174" s="31">
        <f>6040</f>
        <v>6040</v>
      </c>
      <c r="R174" s="32" t="s">
        <v>934</v>
      </c>
      <c r="S174" s="33">
        <f>6636.3</f>
        <v>6636.3</v>
      </c>
      <c r="T174" s="30">
        <f>2367</f>
        <v>2367</v>
      </c>
      <c r="U174" s="30" t="str">
        <f t="shared" si="6"/>
        <v>－</v>
      </c>
      <c r="V174" s="30">
        <f>14929929</f>
        <v>14929929</v>
      </c>
      <c r="W174" s="30" t="str">
        <f t="shared" si="7"/>
        <v>－</v>
      </c>
      <c r="X174" s="34">
        <f>20</f>
        <v>20</v>
      </c>
    </row>
    <row r="175" spans="1:24" x14ac:dyDescent="0.15">
      <c r="A175" s="25" t="s">
        <v>1041</v>
      </c>
      <c r="B175" s="25" t="s">
        <v>562</v>
      </c>
      <c r="C175" s="25" t="s">
        <v>563</v>
      </c>
      <c r="D175" s="25" t="s">
        <v>564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457.2</f>
        <v>457.2</v>
      </c>
      <c r="L175" s="32" t="s">
        <v>904</v>
      </c>
      <c r="M175" s="31">
        <f>479</f>
        <v>479</v>
      </c>
      <c r="N175" s="32" t="s">
        <v>911</v>
      </c>
      <c r="O175" s="31">
        <f>447.6</f>
        <v>447.6</v>
      </c>
      <c r="P175" s="32" t="s">
        <v>94</v>
      </c>
      <c r="Q175" s="31">
        <f>453.2</f>
        <v>453.2</v>
      </c>
      <c r="R175" s="32" t="s">
        <v>934</v>
      </c>
      <c r="S175" s="33">
        <f>464.44</f>
        <v>464.44</v>
      </c>
      <c r="T175" s="30">
        <f>102100</f>
        <v>102100</v>
      </c>
      <c r="U175" s="30" t="str">
        <f t="shared" si="6"/>
        <v>－</v>
      </c>
      <c r="V175" s="30">
        <f>47583600</f>
        <v>47583600</v>
      </c>
      <c r="W175" s="30" t="str">
        <f t="shared" si="7"/>
        <v>－</v>
      </c>
      <c r="X175" s="34">
        <f>20</f>
        <v>20</v>
      </c>
    </row>
    <row r="176" spans="1:24" x14ac:dyDescent="0.15">
      <c r="A176" s="25" t="s">
        <v>1041</v>
      </c>
      <c r="B176" s="25" t="s">
        <v>565</v>
      </c>
      <c r="C176" s="25" t="s">
        <v>566</v>
      </c>
      <c r="D176" s="25" t="s">
        <v>567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4481</f>
        <v>4481</v>
      </c>
      <c r="L176" s="32" t="s">
        <v>904</v>
      </c>
      <c r="M176" s="31">
        <f>4866</f>
        <v>4866</v>
      </c>
      <c r="N176" s="32" t="s">
        <v>695</v>
      </c>
      <c r="O176" s="31">
        <f>4343</f>
        <v>4343</v>
      </c>
      <c r="P176" s="32" t="s">
        <v>94</v>
      </c>
      <c r="Q176" s="31">
        <f>4467</f>
        <v>4467</v>
      </c>
      <c r="R176" s="32" t="s">
        <v>934</v>
      </c>
      <c r="S176" s="33">
        <f>4582.25</f>
        <v>4582.25</v>
      </c>
      <c r="T176" s="30">
        <f>37730</f>
        <v>37730</v>
      </c>
      <c r="U176" s="30" t="str">
        <f t="shared" si="6"/>
        <v>－</v>
      </c>
      <c r="V176" s="30">
        <f>173898550</f>
        <v>173898550</v>
      </c>
      <c r="W176" s="30" t="str">
        <f t="shared" si="7"/>
        <v>－</v>
      </c>
      <c r="X176" s="34">
        <f>20</f>
        <v>20</v>
      </c>
    </row>
    <row r="177" spans="1:24" x14ac:dyDescent="0.15">
      <c r="A177" s="25" t="s">
        <v>1041</v>
      </c>
      <c r="B177" s="25" t="s">
        <v>568</v>
      </c>
      <c r="C177" s="25" t="s">
        <v>569</v>
      </c>
      <c r="D177" s="25" t="s">
        <v>570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2970.5</f>
        <v>2970.5</v>
      </c>
      <c r="L177" s="32" t="s">
        <v>904</v>
      </c>
      <c r="M177" s="31">
        <f>3890</f>
        <v>3890</v>
      </c>
      <c r="N177" s="32" t="s">
        <v>906</v>
      </c>
      <c r="O177" s="31">
        <f>2970.5</f>
        <v>2970.5</v>
      </c>
      <c r="P177" s="32" t="s">
        <v>904</v>
      </c>
      <c r="Q177" s="31">
        <f>3445</f>
        <v>3445</v>
      </c>
      <c r="R177" s="32" t="s">
        <v>934</v>
      </c>
      <c r="S177" s="33">
        <f>3333.6</f>
        <v>3333.6</v>
      </c>
      <c r="T177" s="30">
        <f>33210</f>
        <v>33210</v>
      </c>
      <c r="U177" s="30" t="str">
        <f t="shared" si="6"/>
        <v>－</v>
      </c>
      <c r="V177" s="30">
        <f>111344175</f>
        <v>111344175</v>
      </c>
      <c r="W177" s="30" t="str">
        <f t="shared" si="7"/>
        <v>－</v>
      </c>
      <c r="X177" s="34">
        <f>20</f>
        <v>20</v>
      </c>
    </row>
    <row r="178" spans="1:24" x14ac:dyDescent="0.15">
      <c r="A178" s="25" t="s">
        <v>1041</v>
      </c>
      <c r="B178" s="25" t="s">
        <v>571</v>
      </c>
      <c r="C178" s="25" t="s">
        <v>572</v>
      </c>
      <c r="D178" s="25" t="s">
        <v>573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131.3</f>
        <v>131.30000000000001</v>
      </c>
      <c r="L178" s="32" t="s">
        <v>904</v>
      </c>
      <c r="M178" s="31">
        <f>133.9</f>
        <v>133.9</v>
      </c>
      <c r="N178" s="32" t="s">
        <v>909</v>
      </c>
      <c r="O178" s="31">
        <f>106</f>
        <v>106</v>
      </c>
      <c r="P178" s="32" t="s">
        <v>936</v>
      </c>
      <c r="Q178" s="31">
        <f>107.1</f>
        <v>107.1</v>
      </c>
      <c r="R178" s="32" t="s">
        <v>934</v>
      </c>
      <c r="S178" s="33">
        <f>116.89</f>
        <v>116.89</v>
      </c>
      <c r="T178" s="30">
        <f>13013400</f>
        <v>13013400</v>
      </c>
      <c r="U178" s="30" t="str">
        <f t="shared" si="6"/>
        <v>－</v>
      </c>
      <c r="V178" s="30">
        <f>1531823140</f>
        <v>1531823140</v>
      </c>
      <c r="W178" s="30" t="str">
        <f t="shared" si="7"/>
        <v>－</v>
      </c>
      <c r="X178" s="34">
        <f>20</f>
        <v>20</v>
      </c>
    </row>
    <row r="179" spans="1:24" x14ac:dyDescent="0.15">
      <c r="A179" s="25" t="s">
        <v>1041</v>
      </c>
      <c r="B179" s="25" t="s">
        <v>574</v>
      </c>
      <c r="C179" s="25" t="s">
        <v>575</v>
      </c>
      <c r="D179" s="25" t="s">
        <v>576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204.5</f>
        <v>204.5</v>
      </c>
      <c r="L179" s="32" t="s">
        <v>904</v>
      </c>
      <c r="M179" s="31">
        <f>205</f>
        <v>205</v>
      </c>
      <c r="N179" s="32" t="s">
        <v>909</v>
      </c>
      <c r="O179" s="31">
        <f>180.9</f>
        <v>180.9</v>
      </c>
      <c r="P179" s="32" t="s">
        <v>695</v>
      </c>
      <c r="Q179" s="31">
        <f>183.3</f>
        <v>183.3</v>
      </c>
      <c r="R179" s="32" t="s">
        <v>934</v>
      </c>
      <c r="S179" s="33">
        <f>189.28</f>
        <v>189.28</v>
      </c>
      <c r="T179" s="30">
        <f>509000</f>
        <v>509000</v>
      </c>
      <c r="U179" s="30" t="str">
        <f t="shared" si="6"/>
        <v>－</v>
      </c>
      <c r="V179" s="30">
        <f>96849370</f>
        <v>96849370</v>
      </c>
      <c r="W179" s="30" t="str">
        <f t="shared" si="7"/>
        <v>－</v>
      </c>
      <c r="X179" s="34">
        <f>20</f>
        <v>20</v>
      </c>
    </row>
    <row r="180" spans="1:24" x14ac:dyDescent="0.15">
      <c r="A180" s="25" t="s">
        <v>1041</v>
      </c>
      <c r="B180" s="25" t="s">
        <v>577</v>
      </c>
      <c r="C180" s="25" t="s">
        <v>578</v>
      </c>
      <c r="D180" s="25" t="s">
        <v>579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4257</f>
        <v>4257</v>
      </c>
      <c r="L180" s="32" t="s">
        <v>904</v>
      </c>
      <c r="M180" s="31">
        <f>4350</f>
        <v>4350</v>
      </c>
      <c r="N180" s="32" t="s">
        <v>909</v>
      </c>
      <c r="O180" s="31">
        <f>4005</f>
        <v>4005</v>
      </c>
      <c r="P180" s="32" t="s">
        <v>820</v>
      </c>
      <c r="Q180" s="31">
        <f>4104</f>
        <v>4104</v>
      </c>
      <c r="R180" s="32" t="s">
        <v>934</v>
      </c>
      <c r="S180" s="33">
        <f>4152.4</f>
        <v>4152.3999999999996</v>
      </c>
      <c r="T180" s="30">
        <f>9710</f>
        <v>9710</v>
      </c>
      <c r="U180" s="30" t="str">
        <f t="shared" si="6"/>
        <v>－</v>
      </c>
      <c r="V180" s="30">
        <f>40610190</f>
        <v>40610190</v>
      </c>
      <c r="W180" s="30" t="str">
        <f t="shared" si="7"/>
        <v>－</v>
      </c>
      <c r="X180" s="34">
        <f>20</f>
        <v>20</v>
      </c>
    </row>
    <row r="181" spans="1:24" x14ac:dyDescent="0.15">
      <c r="A181" s="25" t="s">
        <v>1041</v>
      </c>
      <c r="B181" s="25" t="s">
        <v>580</v>
      </c>
      <c r="C181" s="25" t="s">
        <v>581</v>
      </c>
      <c r="D181" s="25" t="s">
        <v>582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2015</f>
        <v>2015</v>
      </c>
      <c r="L181" s="32" t="s">
        <v>904</v>
      </c>
      <c r="M181" s="31">
        <f>2139</f>
        <v>2139</v>
      </c>
      <c r="N181" s="32" t="s">
        <v>820</v>
      </c>
      <c r="O181" s="31">
        <f>2011.5</f>
        <v>2011.5</v>
      </c>
      <c r="P181" s="32" t="s">
        <v>811</v>
      </c>
      <c r="Q181" s="31">
        <f>2101</f>
        <v>2101</v>
      </c>
      <c r="R181" s="32" t="s">
        <v>934</v>
      </c>
      <c r="S181" s="33">
        <f>2070.48</f>
        <v>2070.48</v>
      </c>
      <c r="T181" s="30">
        <f>196620</f>
        <v>196620</v>
      </c>
      <c r="U181" s="30">
        <f>150000</f>
        <v>150000</v>
      </c>
      <c r="V181" s="30">
        <f>407034530</f>
        <v>407034530</v>
      </c>
      <c r="W181" s="30">
        <f>309675000</f>
        <v>309675000</v>
      </c>
      <c r="X181" s="34">
        <f>20</f>
        <v>20</v>
      </c>
    </row>
    <row r="182" spans="1:24" x14ac:dyDescent="0.15">
      <c r="A182" s="25" t="s">
        <v>1041</v>
      </c>
      <c r="B182" s="25" t="s">
        <v>583</v>
      </c>
      <c r="C182" s="25" t="s">
        <v>584</v>
      </c>
      <c r="D182" s="25" t="s">
        <v>585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383.6</f>
        <v>383.6</v>
      </c>
      <c r="L182" s="32" t="s">
        <v>904</v>
      </c>
      <c r="M182" s="31">
        <f>405.6</f>
        <v>405.6</v>
      </c>
      <c r="N182" s="32" t="s">
        <v>912</v>
      </c>
      <c r="O182" s="31">
        <f>321</f>
        <v>321</v>
      </c>
      <c r="P182" s="32" t="s">
        <v>94</v>
      </c>
      <c r="Q182" s="31">
        <f>340</f>
        <v>340</v>
      </c>
      <c r="R182" s="32" t="s">
        <v>934</v>
      </c>
      <c r="S182" s="33">
        <f>366.89</f>
        <v>366.89</v>
      </c>
      <c r="T182" s="30">
        <f>37726950</f>
        <v>37726950</v>
      </c>
      <c r="U182" s="30">
        <f>109650</f>
        <v>109650</v>
      </c>
      <c r="V182" s="30">
        <f>13578319943</f>
        <v>13578319943</v>
      </c>
      <c r="W182" s="30">
        <f>39207036</f>
        <v>39207036</v>
      </c>
      <c r="X182" s="34">
        <f>20</f>
        <v>20</v>
      </c>
    </row>
    <row r="183" spans="1:24" x14ac:dyDescent="0.15">
      <c r="A183" s="25" t="s">
        <v>1041</v>
      </c>
      <c r="B183" s="25" t="s">
        <v>586</v>
      </c>
      <c r="C183" s="25" t="s">
        <v>587</v>
      </c>
      <c r="D183" s="25" t="s">
        <v>588</v>
      </c>
      <c r="E183" s="26" t="s">
        <v>45</v>
      </c>
      <c r="F183" s="27" t="s">
        <v>45</v>
      </c>
      <c r="G183" s="28" t="s">
        <v>45</v>
      </c>
      <c r="H183" s="29"/>
      <c r="I183" s="29" t="s">
        <v>589</v>
      </c>
      <c r="J183" s="30">
        <v>1</v>
      </c>
      <c r="K183" s="31">
        <f>3930</f>
        <v>3930</v>
      </c>
      <c r="L183" s="32" t="s">
        <v>904</v>
      </c>
      <c r="M183" s="31">
        <f>5340</f>
        <v>5340</v>
      </c>
      <c r="N183" s="32" t="s">
        <v>906</v>
      </c>
      <c r="O183" s="31">
        <f>3850</f>
        <v>3850</v>
      </c>
      <c r="P183" s="32" t="s">
        <v>904</v>
      </c>
      <c r="Q183" s="31">
        <f>5130</f>
        <v>5130</v>
      </c>
      <c r="R183" s="32" t="s">
        <v>934</v>
      </c>
      <c r="S183" s="33">
        <f>4739</f>
        <v>4739</v>
      </c>
      <c r="T183" s="30">
        <f>361149</f>
        <v>361149</v>
      </c>
      <c r="U183" s="30" t="str">
        <f t="shared" ref="U183:U188" si="8">"－"</f>
        <v>－</v>
      </c>
      <c r="V183" s="30">
        <f>1703971655</f>
        <v>1703971655</v>
      </c>
      <c r="W183" s="30" t="str">
        <f t="shared" ref="W183:W188" si="9">"－"</f>
        <v>－</v>
      </c>
      <c r="X183" s="34">
        <f>20</f>
        <v>20</v>
      </c>
    </row>
    <row r="184" spans="1:24" x14ac:dyDescent="0.15">
      <c r="A184" s="25" t="s">
        <v>1041</v>
      </c>
      <c r="B184" s="25" t="s">
        <v>590</v>
      </c>
      <c r="C184" s="25" t="s">
        <v>591</v>
      </c>
      <c r="D184" s="25" t="s">
        <v>592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11905</f>
        <v>11905</v>
      </c>
      <c r="L184" s="32" t="s">
        <v>904</v>
      </c>
      <c r="M184" s="31">
        <f>11905</f>
        <v>11905</v>
      </c>
      <c r="N184" s="32" t="s">
        <v>904</v>
      </c>
      <c r="O184" s="31">
        <f>8595</f>
        <v>8595</v>
      </c>
      <c r="P184" s="32" t="s">
        <v>934</v>
      </c>
      <c r="Q184" s="31">
        <f>8614</f>
        <v>8614</v>
      </c>
      <c r="R184" s="32" t="s">
        <v>934</v>
      </c>
      <c r="S184" s="33">
        <f>9506.6</f>
        <v>9506.6</v>
      </c>
      <c r="T184" s="30">
        <f>38008</f>
        <v>38008</v>
      </c>
      <c r="U184" s="30" t="str">
        <f t="shared" si="8"/>
        <v>－</v>
      </c>
      <c r="V184" s="30">
        <f>370719886</f>
        <v>370719886</v>
      </c>
      <c r="W184" s="30" t="str">
        <f t="shared" si="9"/>
        <v>－</v>
      </c>
      <c r="X184" s="34">
        <f>20</f>
        <v>20</v>
      </c>
    </row>
    <row r="185" spans="1:24" x14ac:dyDescent="0.15">
      <c r="A185" s="25" t="s">
        <v>1041</v>
      </c>
      <c r="B185" s="25" t="s">
        <v>593</v>
      </c>
      <c r="C185" s="25" t="s">
        <v>594</v>
      </c>
      <c r="D185" s="25" t="s">
        <v>595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9627</f>
        <v>9627</v>
      </c>
      <c r="L185" s="32" t="s">
        <v>904</v>
      </c>
      <c r="M185" s="31">
        <f>11550</f>
        <v>11550</v>
      </c>
      <c r="N185" s="32" t="s">
        <v>821</v>
      </c>
      <c r="O185" s="31">
        <f>9627</f>
        <v>9627</v>
      </c>
      <c r="P185" s="32" t="s">
        <v>904</v>
      </c>
      <c r="Q185" s="31">
        <f>10890</f>
        <v>10890</v>
      </c>
      <c r="R185" s="32" t="s">
        <v>934</v>
      </c>
      <c r="S185" s="33">
        <f>10738.74</f>
        <v>10738.74</v>
      </c>
      <c r="T185" s="30">
        <f>2828</f>
        <v>2828</v>
      </c>
      <c r="U185" s="30" t="str">
        <f t="shared" si="8"/>
        <v>－</v>
      </c>
      <c r="V185" s="30">
        <f>30577923</f>
        <v>30577923</v>
      </c>
      <c r="W185" s="30" t="str">
        <f t="shared" si="9"/>
        <v>－</v>
      </c>
      <c r="X185" s="34">
        <f>19</f>
        <v>19</v>
      </c>
    </row>
    <row r="186" spans="1:24" x14ac:dyDescent="0.15">
      <c r="A186" s="25" t="s">
        <v>1041</v>
      </c>
      <c r="B186" s="25" t="s">
        <v>596</v>
      </c>
      <c r="C186" s="25" t="s">
        <v>597</v>
      </c>
      <c r="D186" s="25" t="s">
        <v>598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8545</f>
        <v>8545</v>
      </c>
      <c r="L186" s="32" t="s">
        <v>904</v>
      </c>
      <c r="M186" s="31">
        <f>8580</f>
        <v>8580</v>
      </c>
      <c r="N186" s="32" t="s">
        <v>811</v>
      </c>
      <c r="O186" s="31">
        <f>7912</f>
        <v>7912</v>
      </c>
      <c r="P186" s="32" t="s">
        <v>821</v>
      </c>
      <c r="Q186" s="31">
        <f>8116</f>
        <v>8116</v>
      </c>
      <c r="R186" s="32" t="s">
        <v>934</v>
      </c>
      <c r="S186" s="33">
        <f>8184.25</f>
        <v>8184.25</v>
      </c>
      <c r="T186" s="30">
        <f>22097</f>
        <v>22097</v>
      </c>
      <c r="U186" s="30" t="str">
        <f t="shared" si="8"/>
        <v>－</v>
      </c>
      <c r="V186" s="30">
        <f>182470283</f>
        <v>182470283</v>
      </c>
      <c r="W186" s="30" t="str">
        <f t="shared" si="9"/>
        <v>－</v>
      </c>
      <c r="X186" s="34">
        <f>20</f>
        <v>20</v>
      </c>
    </row>
    <row r="187" spans="1:24" x14ac:dyDescent="0.15">
      <c r="A187" s="25" t="s">
        <v>1041</v>
      </c>
      <c r="B187" s="25" t="s">
        <v>602</v>
      </c>
      <c r="C187" s="25" t="s">
        <v>603</v>
      </c>
      <c r="D187" s="25" t="s">
        <v>604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25855</f>
        <v>25855</v>
      </c>
      <c r="L187" s="32" t="s">
        <v>904</v>
      </c>
      <c r="M187" s="31">
        <f>27295</f>
        <v>27295</v>
      </c>
      <c r="N187" s="32" t="s">
        <v>821</v>
      </c>
      <c r="O187" s="31">
        <f>25440</f>
        <v>25440</v>
      </c>
      <c r="P187" s="32" t="s">
        <v>811</v>
      </c>
      <c r="Q187" s="31">
        <f>26055</f>
        <v>26055</v>
      </c>
      <c r="R187" s="32" t="s">
        <v>934</v>
      </c>
      <c r="S187" s="33">
        <f>26356.5</f>
        <v>26356.5</v>
      </c>
      <c r="T187" s="30">
        <f>32435</f>
        <v>32435</v>
      </c>
      <c r="U187" s="30" t="str">
        <f t="shared" si="8"/>
        <v>－</v>
      </c>
      <c r="V187" s="30">
        <f>859596340</f>
        <v>859596340</v>
      </c>
      <c r="W187" s="30" t="str">
        <f t="shared" si="9"/>
        <v>－</v>
      </c>
      <c r="X187" s="34">
        <f>20</f>
        <v>20</v>
      </c>
    </row>
    <row r="188" spans="1:24" x14ac:dyDescent="0.15">
      <c r="A188" s="25" t="s">
        <v>1041</v>
      </c>
      <c r="B188" s="25" t="s">
        <v>605</v>
      </c>
      <c r="C188" s="25" t="s">
        <v>606</v>
      </c>
      <c r="D188" s="25" t="s">
        <v>607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4365</f>
        <v>4365</v>
      </c>
      <c r="L188" s="32" t="s">
        <v>904</v>
      </c>
      <c r="M188" s="31">
        <f>4425</f>
        <v>4425</v>
      </c>
      <c r="N188" s="32" t="s">
        <v>811</v>
      </c>
      <c r="O188" s="31">
        <f>4250</f>
        <v>4250</v>
      </c>
      <c r="P188" s="32" t="s">
        <v>821</v>
      </c>
      <c r="Q188" s="31">
        <f>4335</f>
        <v>4335</v>
      </c>
      <c r="R188" s="32" t="s">
        <v>934</v>
      </c>
      <c r="S188" s="33">
        <f>4323</f>
        <v>4323</v>
      </c>
      <c r="T188" s="30">
        <f>13980</f>
        <v>13980</v>
      </c>
      <c r="U188" s="30" t="str">
        <f t="shared" si="8"/>
        <v>－</v>
      </c>
      <c r="V188" s="30">
        <f>60418905</f>
        <v>60418905</v>
      </c>
      <c r="W188" s="30" t="str">
        <f t="shared" si="9"/>
        <v>－</v>
      </c>
      <c r="X188" s="34">
        <f>20</f>
        <v>20</v>
      </c>
    </row>
    <row r="189" spans="1:24" x14ac:dyDescent="0.15">
      <c r="A189" s="25" t="s">
        <v>1041</v>
      </c>
      <c r="B189" s="25" t="s">
        <v>608</v>
      </c>
      <c r="C189" s="25" t="s">
        <v>609</v>
      </c>
      <c r="D189" s="25" t="s">
        <v>610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1704</f>
        <v>1704</v>
      </c>
      <c r="L189" s="32" t="s">
        <v>904</v>
      </c>
      <c r="M189" s="31">
        <f>1862</f>
        <v>1862</v>
      </c>
      <c r="N189" s="32" t="s">
        <v>70</v>
      </c>
      <c r="O189" s="31">
        <f>1269</f>
        <v>1269</v>
      </c>
      <c r="P189" s="32" t="s">
        <v>94</v>
      </c>
      <c r="Q189" s="31">
        <f>1378</f>
        <v>1378</v>
      </c>
      <c r="R189" s="32" t="s">
        <v>934</v>
      </c>
      <c r="S189" s="33">
        <f>1580.95</f>
        <v>1580.95</v>
      </c>
      <c r="T189" s="30">
        <f>38999579</f>
        <v>38999579</v>
      </c>
      <c r="U189" s="30">
        <f>300011</f>
        <v>300011</v>
      </c>
      <c r="V189" s="30">
        <f>58797227304</f>
        <v>58797227304</v>
      </c>
      <c r="W189" s="30">
        <f>555018632</f>
        <v>555018632</v>
      </c>
      <c r="X189" s="34">
        <f>20</f>
        <v>20</v>
      </c>
    </row>
    <row r="190" spans="1:24" x14ac:dyDescent="0.15">
      <c r="A190" s="25" t="s">
        <v>1041</v>
      </c>
      <c r="B190" s="25" t="s">
        <v>611</v>
      </c>
      <c r="C190" s="25" t="s">
        <v>612</v>
      </c>
      <c r="D190" s="25" t="s">
        <v>613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1343</f>
        <v>1343</v>
      </c>
      <c r="L190" s="32" t="s">
        <v>904</v>
      </c>
      <c r="M190" s="31">
        <f>1528</f>
        <v>1528</v>
      </c>
      <c r="N190" s="32" t="s">
        <v>94</v>
      </c>
      <c r="O190" s="31">
        <f>1292</f>
        <v>1292</v>
      </c>
      <c r="P190" s="32" t="s">
        <v>70</v>
      </c>
      <c r="Q190" s="31">
        <f>1470</f>
        <v>1470</v>
      </c>
      <c r="R190" s="32" t="s">
        <v>934</v>
      </c>
      <c r="S190" s="33">
        <f>1389.6</f>
        <v>1389.6</v>
      </c>
      <c r="T190" s="30">
        <f>3219105</f>
        <v>3219105</v>
      </c>
      <c r="U190" s="30">
        <f>663</f>
        <v>663</v>
      </c>
      <c r="V190" s="30">
        <f>4475131117</f>
        <v>4475131117</v>
      </c>
      <c r="W190" s="30">
        <f>934986</f>
        <v>934986</v>
      </c>
      <c r="X190" s="34">
        <f>20</f>
        <v>20</v>
      </c>
    </row>
    <row r="191" spans="1:24" x14ac:dyDescent="0.15">
      <c r="A191" s="25" t="s">
        <v>1041</v>
      </c>
      <c r="B191" s="25" t="s">
        <v>614</v>
      </c>
      <c r="C191" s="25" t="s">
        <v>615</v>
      </c>
      <c r="D191" s="25" t="s">
        <v>616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24880</f>
        <v>24880</v>
      </c>
      <c r="L191" s="32" t="s">
        <v>904</v>
      </c>
      <c r="M191" s="31">
        <f>26855</f>
        <v>26855</v>
      </c>
      <c r="N191" s="32" t="s">
        <v>94</v>
      </c>
      <c r="O191" s="31">
        <f>23725</f>
        <v>23725</v>
      </c>
      <c r="P191" s="32" t="s">
        <v>811</v>
      </c>
      <c r="Q191" s="31">
        <f>26190</f>
        <v>26190</v>
      </c>
      <c r="R191" s="32" t="s">
        <v>934</v>
      </c>
      <c r="S191" s="33">
        <f>25716.75</f>
        <v>25716.75</v>
      </c>
      <c r="T191" s="30">
        <f>213669</f>
        <v>213669</v>
      </c>
      <c r="U191" s="30">
        <f>1300</f>
        <v>1300</v>
      </c>
      <c r="V191" s="30">
        <f>5486148325</f>
        <v>5486148325</v>
      </c>
      <c r="W191" s="30">
        <f>33342400</f>
        <v>33342400</v>
      </c>
      <c r="X191" s="34">
        <f>20</f>
        <v>20</v>
      </c>
    </row>
    <row r="192" spans="1:24" x14ac:dyDescent="0.15">
      <c r="A192" s="25" t="s">
        <v>1041</v>
      </c>
      <c r="B192" s="25" t="s">
        <v>617</v>
      </c>
      <c r="C192" s="25" t="s">
        <v>618</v>
      </c>
      <c r="D192" s="25" t="s">
        <v>619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3000</f>
        <v>3000</v>
      </c>
      <c r="L192" s="32" t="s">
        <v>904</v>
      </c>
      <c r="M192" s="31">
        <f>3100</f>
        <v>3100</v>
      </c>
      <c r="N192" s="32" t="s">
        <v>811</v>
      </c>
      <c r="O192" s="31">
        <f>2878</f>
        <v>2878</v>
      </c>
      <c r="P192" s="32" t="s">
        <v>820</v>
      </c>
      <c r="Q192" s="31">
        <f>2917</f>
        <v>2917</v>
      </c>
      <c r="R192" s="32" t="s">
        <v>934</v>
      </c>
      <c r="S192" s="33">
        <f>2956.1</f>
        <v>2956.1</v>
      </c>
      <c r="T192" s="30">
        <f>1272196</f>
        <v>1272196</v>
      </c>
      <c r="U192" s="30">
        <f>3500</f>
        <v>3500</v>
      </c>
      <c r="V192" s="30">
        <f>3765382917</f>
        <v>3765382917</v>
      </c>
      <c r="W192" s="30">
        <f>10724000</f>
        <v>10724000</v>
      </c>
      <c r="X192" s="34">
        <f>20</f>
        <v>20</v>
      </c>
    </row>
    <row r="193" spans="1:24" x14ac:dyDescent="0.15">
      <c r="A193" s="25" t="s">
        <v>1041</v>
      </c>
      <c r="B193" s="25" t="s">
        <v>620</v>
      </c>
      <c r="C193" s="25" t="s">
        <v>621</v>
      </c>
      <c r="D193" s="25" t="s">
        <v>622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8037</f>
        <v>8037</v>
      </c>
      <c r="L193" s="32" t="s">
        <v>904</v>
      </c>
      <c r="M193" s="31">
        <f>8642</f>
        <v>8642</v>
      </c>
      <c r="N193" s="32" t="s">
        <v>94</v>
      </c>
      <c r="O193" s="31">
        <f>7752</f>
        <v>7752</v>
      </c>
      <c r="P193" s="32" t="s">
        <v>70</v>
      </c>
      <c r="Q193" s="31">
        <f>8526</f>
        <v>8526</v>
      </c>
      <c r="R193" s="32" t="s">
        <v>934</v>
      </c>
      <c r="S193" s="33">
        <f>8202.85</f>
        <v>8202.85</v>
      </c>
      <c r="T193" s="30">
        <f>52572</f>
        <v>52572</v>
      </c>
      <c r="U193" s="30">
        <f>2000</f>
        <v>2000</v>
      </c>
      <c r="V193" s="30">
        <f>437415057</f>
        <v>437415057</v>
      </c>
      <c r="W193" s="30">
        <f>16648000</f>
        <v>16648000</v>
      </c>
      <c r="X193" s="34">
        <f>20</f>
        <v>20</v>
      </c>
    </row>
    <row r="194" spans="1:24" x14ac:dyDescent="0.15">
      <c r="A194" s="25" t="s">
        <v>1041</v>
      </c>
      <c r="B194" s="25" t="s">
        <v>623</v>
      </c>
      <c r="C194" s="25" t="s">
        <v>624</v>
      </c>
      <c r="D194" s="25" t="s">
        <v>625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16690</f>
        <v>16690</v>
      </c>
      <c r="L194" s="32" t="s">
        <v>904</v>
      </c>
      <c r="M194" s="31">
        <f>17180</f>
        <v>17180</v>
      </c>
      <c r="N194" s="32" t="s">
        <v>70</v>
      </c>
      <c r="O194" s="31">
        <f>16120</f>
        <v>16120</v>
      </c>
      <c r="P194" s="32" t="s">
        <v>820</v>
      </c>
      <c r="Q194" s="31">
        <f>16765</f>
        <v>16765</v>
      </c>
      <c r="R194" s="32" t="s">
        <v>936</v>
      </c>
      <c r="S194" s="33">
        <f>16656.56</f>
        <v>16656.560000000001</v>
      </c>
      <c r="T194" s="30">
        <f>903</f>
        <v>903</v>
      </c>
      <c r="U194" s="30" t="str">
        <f t="shared" ref="U194:U209" si="10">"－"</f>
        <v>－</v>
      </c>
      <c r="V194" s="30">
        <f>15024295</f>
        <v>15024295</v>
      </c>
      <c r="W194" s="30" t="str">
        <f t="shared" ref="W194:W209" si="11">"－"</f>
        <v>－</v>
      </c>
      <c r="X194" s="34">
        <f>16</f>
        <v>16</v>
      </c>
    </row>
    <row r="195" spans="1:24" x14ac:dyDescent="0.15">
      <c r="A195" s="25" t="s">
        <v>1041</v>
      </c>
      <c r="B195" s="25" t="s">
        <v>626</v>
      </c>
      <c r="C195" s="25" t="s">
        <v>627</v>
      </c>
      <c r="D195" s="25" t="s">
        <v>628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24705</f>
        <v>24705</v>
      </c>
      <c r="L195" s="32" t="s">
        <v>904</v>
      </c>
      <c r="M195" s="31">
        <f>24780</f>
        <v>24780</v>
      </c>
      <c r="N195" s="32" t="s">
        <v>820</v>
      </c>
      <c r="O195" s="31">
        <f>23775</f>
        <v>23775</v>
      </c>
      <c r="P195" s="32" t="s">
        <v>811</v>
      </c>
      <c r="Q195" s="31">
        <f>24250</f>
        <v>24250</v>
      </c>
      <c r="R195" s="32" t="s">
        <v>934</v>
      </c>
      <c r="S195" s="33">
        <f>24295.75</f>
        <v>24295.75</v>
      </c>
      <c r="T195" s="30">
        <f>18024</f>
        <v>18024</v>
      </c>
      <c r="U195" s="30" t="str">
        <f t="shared" si="10"/>
        <v>－</v>
      </c>
      <c r="V195" s="30">
        <f>438616270</f>
        <v>438616270</v>
      </c>
      <c r="W195" s="30" t="str">
        <f t="shared" si="11"/>
        <v>－</v>
      </c>
      <c r="X195" s="34">
        <f>20</f>
        <v>20</v>
      </c>
    </row>
    <row r="196" spans="1:24" x14ac:dyDescent="0.15">
      <c r="A196" s="25" t="s">
        <v>1041</v>
      </c>
      <c r="B196" s="25" t="s">
        <v>629</v>
      </c>
      <c r="C196" s="25" t="s">
        <v>630</v>
      </c>
      <c r="D196" s="25" t="s">
        <v>631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15030</f>
        <v>15030</v>
      </c>
      <c r="L196" s="32" t="s">
        <v>904</v>
      </c>
      <c r="M196" s="31">
        <f>15820</f>
        <v>15820</v>
      </c>
      <c r="N196" s="32" t="s">
        <v>906</v>
      </c>
      <c r="O196" s="31">
        <f>14715</f>
        <v>14715</v>
      </c>
      <c r="P196" s="32" t="s">
        <v>820</v>
      </c>
      <c r="Q196" s="31">
        <f>15125</f>
        <v>15125</v>
      </c>
      <c r="R196" s="32" t="s">
        <v>936</v>
      </c>
      <c r="S196" s="33">
        <f>15091.67</f>
        <v>15091.67</v>
      </c>
      <c r="T196" s="30">
        <f>4129</f>
        <v>4129</v>
      </c>
      <c r="U196" s="30" t="str">
        <f t="shared" si="10"/>
        <v>－</v>
      </c>
      <c r="V196" s="30">
        <f>63002615</f>
        <v>63002615</v>
      </c>
      <c r="W196" s="30" t="str">
        <f t="shared" si="11"/>
        <v>－</v>
      </c>
      <c r="X196" s="34">
        <f>18</f>
        <v>18</v>
      </c>
    </row>
    <row r="197" spans="1:24" x14ac:dyDescent="0.15">
      <c r="A197" s="25" t="s">
        <v>1041</v>
      </c>
      <c r="B197" s="25" t="s">
        <v>632</v>
      </c>
      <c r="C197" s="25" t="s">
        <v>633</v>
      </c>
      <c r="D197" s="25" t="s">
        <v>634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20835</f>
        <v>20835</v>
      </c>
      <c r="L197" s="32" t="s">
        <v>904</v>
      </c>
      <c r="M197" s="31">
        <f>21680</f>
        <v>21680</v>
      </c>
      <c r="N197" s="32" t="s">
        <v>821</v>
      </c>
      <c r="O197" s="31">
        <f>20280</f>
        <v>20280</v>
      </c>
      <c r="P197" s="32" t="s">
        <v>820</v>
      </c>
      <c r="Q197" s="31">
        <f>20985</f>
        <v>20985</v>
      </c>
      <c r="R197" s="32" t="s">
        <v>934</v>
      </c>
      <c r="S197" s="33">
        <f>20841</f>
        <v>20841</v>
      </c>
      <c r="T197" s="30">
        <f>29572</f>
        <v>29572</v>
      </c>
      <c r="U197" s="30" t="str">
        <f t="shared" si="10"/>
        <v>－</v>
      </c>
      <c r="V197" s="30">
        <f>619001615</f>
        <v>619001615</v>
      </c>
      <c r="W197" s="30" t="str">
        <f t="shared" si="11"/>
        <v>－</v>
      </c>
      <c r="X197" s="34">
        <f>20</f>
        <v>20</v>
      </c>
    </row>
    <row r="198" spans="1:24" x14ac:dyDescent="0.15">
      <c r="A198" s="25" t="s">
        <v>1041</v>
      </c>
      <c r="B198" s="25" t="s">
        <v>635</v>
      </c>
      <c r="C198" s="25" t="s">
        <v>636</v>
      </c>
      <c r="D198" s="25" t="s">
        <v>637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4540</f>
        <v>4540</v>
      </c>
      <c r="L198" s="32" t="s">
        <v>904</v>
      </c>
      <c r="M198" s="31">
        <f>4575</f>
        <v>4575</v>
      </c>
      <c r="N198" s="32" t="s">
        <v>70</v>
      </c>
      <c r="O198" s="31">
        <f>4090</f>
        <v>4090</v>
      </c>
      <c r="P198" s="32" t="s">
        <v>934</v>
      </c>
      <c r="Q198" s="31">
        <f>4160</f>
        <v>4160</v>
      </c>
      <c r="R198" s="32" t="s">
        <v>934</v>
      </c>
      <c r="S198" s="33">
        <f>4332.75</f>
        <v>4332.75</v>
      </c>
      <c r="T198" s="30">
        <f>13568</f>
        <v>13568</v>
      </c>
      <c r="U198" s="30" t="str">
        <f t="shared" si="10"/>
        <v>－</v>
      </c>
      <c r="V198" s="30">
        <f>58814915</f>
        <v>58814915</v>
      </c>
      <c r="W198" s="30" t="str">
        <f t="shared" si="11"/>
        <v>－</v>
      </c>
      <c r="X198" s="34">
        <f>20</f>
        <v>20</v>
      </c>
    </row>
    <row r="199" spans="1:24" x14ac:dyDescent="0.15">
      <c r="A199" s="25" t="s">
        <v>1041</v>
      </c>
      <c r="B199" s="25" t="s">
        <v>638</v>
      </c>
      <c r="C199" s="25" t="s">
        <v>639</v>
      </c>
      <c r="D199" s="25" t="s">
        <v>640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16500</f>
        <v>16500</v>
      </c>
      <c r="L199" s="32" t="s">
        <v>909</v>
      </c>
      <c r="M199" s="31">
        <f>16795</f>
        <v>16795</v>
      </c>
      <c r="N199" s="32" t="s">
        <v>911</v>
      </c>
      <c r="O199" s="31">
        <f>15475</f>
        <v>15475</v>
      </c>
      <c r="P199" s="32" t="s">
        <v>906</v>
      </c>
      <c r="Q199" s="31">
        <f>16040</f>
        <v>16040</v>
      </c>
      <c r="R199" s="32" t="s">
        <v>94</v>
      </c>
      <c r="S199" s="33">
        <f>16269.06</f>
        <v>16269.06</v>
      </c>
      <c r="T199" s="30">
        <f>1521</f>
        <v>1521</v>
      </c>
      <c r="U199" s="30" t="str">
        <f t="shared" si="10"/>
        <v>－</v>
      </c>
      <c r="V199" s="30">
        <f>24651155</f>
        <v>24651155</v>
      </c>
      <c r="W199" s="30" t="str">
        <f t="shared" si="11"/>
        <v>－</v>
      </c>
      <c r="X199" s="34">
        <f>16</f>
        <v>16</v>
      </c>
    </row>
    <row r="200" spans="1:24" x14ac:dyDescent="0.15">
      <c r="A200" s="25" t="s">
        <v>1041</v>
      </c>
      <c r="B200" s="25" t="s">
        <v>641</v>
      </c>
      <c r="C200" s="25" t="s">
        <v>642</v>
      </c>
      <c r="D200" s="25" t="s">
        <v>643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12765</f>
        <v>12765</v>
      </c>
      <c r="L200" s="32" t="s">
        <v>811</v>
      </c>
      <c r="M200" s="31">
        <f>13185</f>
        <v>13185</v>
      </c>
      <c r="N200" s="32" t="s">
        <v>936</v>
      </c>
      <c r="O200" s="31">
        <f>12605</f>
        <v>12605</v>
      </c>
      <c r="P200" s="32" t="s">
        <v>811</v>
      </c>
      <c r="Q200" s="31">
        <f>13185</f>
        <v>13185</v>
      </c>
      <c r="R200" s="32" t="s">
        <v>936</v>
      </c>
      <c r="S200" s="33">
        <f>12895</f>
        <v>12895</v>
      </c>
      <c r="T200" s="30">
        <f>3</f>
        <v>3</v>
      </c>
      <c r="U200" s="30" t="str">
        <f t="shared" si="10"/>
        <v>－</v>
      </c>
      <c r="V200" s="30">
        <f>38555</f>
        <v>38555</v>
      </c>
      <c r="W200" s="30" t="str">
        <f t="shared" si="11"/>
        <v>－</v>
      </c>
      <c r="X200" s="34">
        <f>2</f>
        <v>2</v>
      </c>
    </row>
    <row r="201" spans="1:24" x14ac:dyDescent="0.15">
      <c r="A201" s="25" t="s">
        <v>1041</v>
      </c>
      <c r="B201" s="25" t="s">
        <v>644</v>
      </c>
      <c r="C201" s="25" t="s">
        <v>645</v>
      </c>
      <c r="D201" s="25" t="s">
        <v>646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19250</f>
        <v>19250</v>
      </c>
      <c r="L201" s="32" t="s">
        <v>904</v>
      </c>
      <c r="M201" s="31">
        <f>19365</f>
        <v>19365</v>
      </c>
      <c r="N201" s="32" t="s">
        <v>904</v>
      </c>
      <c r="O201" s="31">
        <f>18100</f>
        <v>18100</v>
      </c>
      <c r="P201" s="32" t="s">
        <v>695</v>
      </c>
      <c r="Q201" s="31">
        <f>18960</f>
        <v>18960</v>
      </c>
      <c r="R201" s="32" t="s">
        <v>934</v>
      </c>
      <c r="S201" s="33">
        <f>18881.07</f>
        <v>18881.07</v>
      </c>
      <c r="T201" s="30">
        <f>392</f>
        <v>392</v>
      </c>
      <c r="U201" s="30" t="str">
        <f t="shared" si="10"/>
        <v>－</v>
      </c>
      <c r="V201" s="30">
        <f>7429785</f>
        <v>7429785</v>
      </c>
      <c r="W201" s="30" t="str">
        <f t="shared" si="11"/>
        <v>－</v>
      </c>
      <c r="X201" s="34">
        <f>14</f>
        <v>14</v>
      </c>
    </row>
    <row r="202" spans="1:24" x14ac:dyDescent="0.15">
      <c r="A202" s="25" t="s">
        <v>1041</v>
      </c>
      <c r="B202" s="25" t="s">
        <v>647</v>
      </c>
      <c r="C202" s="25" t="s">
        <v>648</v>
      </c>
      <c r="D202" s="25" t="s">
        <v>649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18655</f>
        <v>18655</v>
      </c>
      <c r="L202" s="32" t="s">
        <v>909</v>
      </c>
      <c r="M202" s="31">
        <f>18655</f>
        <v>18655</v>
      </c>
      <c r="N202" s="32" t="s">
        <v>909</v>
      </c>
      <c r="O202" s="31">
        <f>17260</f>
        <v>17260</v>
      </c>
      <c r="P202" s="32" t="s">
        <v>94</v>
      </c>
      <c r="Q202" s="31">
        <f>17260</f>
        <v>17260</v>
      </c>
      <c r="R202" s="32" t="s">
        <v>94</v>
      </c>
      <c r="S202" s="33">
        <f>17751.67</f>
        <v>17751.669999999998</v>
      </c>
      <c r="T202" s="30">
        <f>245</f>
        <v>245</v>
      </c>
      <c r="U202" s="30" t="str">
        <f t="shared" si="10"/>
        <v>－</v>
      </c>
      <c r="V202" s="30">
        <f>4321390</f>
        <v>4321390</v>
      </c>
      <c r="W202" s="30" t="str">
        <f t="shared" si="11"/>
        <v>－</v>
      </c>
      <c r="X202" s="34">
        <f>6</f>
        <v>6</v>
      </c>
    </row>
    <row r="203" spans="1:24" x14ac:dyDescent="0.15">
      <c r="A203" s="25" t="s">
        <v>1041</v>
      </c>
      <c r="B203" s="25" t="s">
        <v>650</v>
      </c>
      <c r="C203" s="25" t="s">
        <v>651</v>
      </c>
      <c r="D203" s="25" t="s">
        <v>652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13010</f>
        <v>13010</v>
      </c>
      <c r="L203" s="32" t="s">
        <v>904</v>
      </c>
      <c r="M203" s="31">
        <f>13640</f>
        <v>13640</v>
      </c>
      <c r="N203" s="32" t="s">
        <v>820</v>
      </c>
      <c r="O203" s="31">
        <f>13010</f>
        <v>13010</v>
      </c>
      <c r="P203" s="32" t="s">
        <v>904</v>
      </c>
      <c r="Q203" s="31">
        <f>13425</f>
        <v>13425</v>
      </c>
      <c r="R203" s="32" t="s">
        <v>934</v>
      </c>
      <c r="S203" s="33">
        <f>13336.88</f>
        <v>13336.88</v>
      </c>
      <c r="T203" s="30">
        <f>1371</f>
        <v>1371</v>
      </c>
      <c r="U203" s="30" t="str">
        <f t="shared" si="10"/>
        <v>－</v>
      </c>
      <c r="V203" s="30">
        <f>18263710</f>
        <v>18263710</v>
      </c>
      <c r="W203" s="30" t="str">
        <f t="shared" si="11"/>
        <v>－</v>
      </c>
      <c r="X203" s="34">
        <f>16</f>
        <v>16</v>
      </c>
    </row>
    <row r="204" spans="1:24" x14ac:dyDescent="0.15">
      <c r="A204" s="25" t="s">
        <v>1041</v>
      </c>
      <c r="B204" s="25" t="s">
        <v>653</v>
      </c>
      <c r="C204" s="25" t="s">
        <v>654</v>
      </c>
      <c r="D204" s="25" t="s">
        <v>655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 t="str">
        <f>"－"</f>
        <v>－</v>
      </c>
      <c r="L204" s="32"/>
      <c r="M204" s="31" t="str">
        <f>"－"</f>
        <v>－</v>
      </c>
      <c r="N204" s="32"/>
      <c r="O204" s="31" t="str">
        <f>"－"</f>
        <v>－</v>
      </c>
      <c r="P204" s="32"/>
      <c r="Q204" s="31" t="str">
        <f>"－"</f>
        <v>－</v>
      </c>
      <c r="R204" s="32"/>
      <c r="S204" s="33" t="str">
        <f>"－"</f>
        <v>－</v>
      </c>
      <c r="T204" s="30" t="str">
        <f>"－"</f>
        <v>－</v>
      </c>
      <c r="U204" s="30" t="str">
        <f t="shared" si="10"/>
        <v>－</v>
      </c>
      <c r="V204" s="30" t="str">
        <f>"－"</f>
        <v>－</v>
      </c>
      <c r="W204" s="30" t="str">
        <f t="shared" si="11"/>
        <v>－</v>
      </c>
      <c r="X204" s="34" t="str">
        <f>"－"</f>
        <v>－</v>
      </c>
    </row>
    <row r="205" spans="1:24" x14ac:dyDescent="0.15">
      <c r="A205" s="25" t="s">
        <v>1041</v>
      </c>
      <c r="B205" s="25" t="s">
        <v>656</v>
      </c>
      <c r="C205" s="25" t="s">
        <v>657</v>
      </c>
      <c r="D205" s="25" t="s">
        <v>658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13445</f>
        <v>13445</v>
      </c>
      <c r="L205" s="32" t="s">
        <v>912</v>
      </c>
      <c r="M205" s="31">
        <f>13445</f>
        <v>13445</v>
      </c>
      <c r="N205" s="32" t="s">
        <v>912</v>
      </c>
      <c r="O205" s="31">
        <f>13445</f>
        <v>13445</v>
      </c>
      <c r="P205" s="32" t="s">
        <v>912</v>
      </c>
      <c r="Q205" s="31">
        <f>13445</f>
        <v>13445</v>
      </c>
      <c r="R205" s="32" t="s">
        <v>912</v>
      </c>
      <c r="S205" s="33">
        <f>13445</f>
        <v>13445</v>
      </c>
      <c r="T205" s="30">
        <f>1</f>
        <v>1</v>
      </c>
      <c r="U205" s="30" t="str">
        <f t="shared" si="10"/>
        <v>－</v>
      </c>
      <c r="V205" s="30">
        <f>13445</f>
        <v>13445</v>
      </c>
      <c r="W205" s="30" t="str">
        <f t="shared" si="11"/>
        <v>－</v>
      </c>
      <c r="X205" s="34">
        <f>1</f>
        <v>1</v>
      </c>
    </row>
    <row r="206" spans="1:24" x14ac:dyDescent="0.15">
      <c r="A206" s="25" t="s">
        <v>1041</v>
      </c>
      <c r="B206" s="25" t="s">
        <v>659</v>
      </c>
      <c r="C206" s="25" t="s">
        <v>660</v>
      </c>
      <c r="D206" s="25" t="s">
        <v>661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9510</f>
        <v>9510</v>
      </c>
      <c r="L206" s="32" t="s">
        <v>904</v>
      </c>
      <c r="M206" s="31">
        <f>9773</f>
        <v>9773</v>
      </c>
      <c r="N206" s="32" t="s">
        <v>936</v>
      </c>
      <c r="O206" s="31">
        <f>9478</f>
        <v>9478</v>
      </c>
      <c r="P206" s="32" t="s">
        <v>912</v>
      </c>
      <c r="Q206" s="31">
        <f>9773</f>
        <v>9773</v>
      </c>
      <c r="R206" s="32" t="s">
        <v>936</v>
      </c>
      <c r="S206" s="33">
        <f>9622.88</f>
        <v>9622.8799999999992</v>
      </c>
      <c r="T206" s="30">
        <f>2708</f>
        <v>2708</v>
      </c>
      <c r="U206" s="30" t="str">
        <f t="shared" si="10"/>
        <v>－</v>
      </c>
      <c r="V206" s="30">
        <f>25952709</f>
        <v>25952709</v>
      </c>
      <c r="W206" s="30" t="str">
        <f t="shared" si="11"/>
        <v>－</v>
      </c>
      <c r="X206" s="34">
        <f>8</f>
        <v>8</v>
      </c>
    </row>
    <row r="207" spans="1:24" x14ac:dyDescent="0.15">
      <c r="A207" s="25" t="s">
        <v>1041</v>
      </c>
      <c r="B207" s="25" t="s">
        <v>662</v>
      </c>
      <c r="C207" s="25" t="s">
        <v>663</v>
      </c>
      <c r="D207" s="25" t="s">
        <v>664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10115</f>
        <v>10115</v>
      </c>
      <c r="L207" s="32" t="s">
        <v>904</v>
      </c>
      <c r="M207" s="31">
        <f>10550</f>
        <v>10550</v>
      </c>
      <c r="N207" s="32" t="s">
        <v>820</v>
      </c>
      <c r="O207" s="31">
        <f>9989</f>
        <v>9989</v>
      </c>
      <c r="P207" s="32" t="s">
        <v>905</v>
      </c>
      <c r="Q207" s="31">
        <f>10305</f>
        <v>10305</v>
      </c>
      <c r="R207" s="32" t="s">
        <v>934</v>
      </c>
      <c r="S207" s="33">
        <f>10293.83</f>
        <v>10293.83</v>
      </c>
      <c r="T207" s="30">
        <f>20519</f>
        <v>20519</v>
      </c>
      <c r="U207" s="30" t="str">
        <f t="shared" si="10"/>
        <v>－</v>
      </c>
      <c r="V207" s="30">
        <f>211942566</f>
        <v>211942566</v>
      </c>
      <c r="W207" s="30" t="str">
        <f t="shared" si="11"/>
        <v>－</v>
      </c>
      <c r="X207" s="34">
        <f>18</f>
        <v>18</v>
      </c>
    </row>
    <row r="208" spans="1:24" x14ac:dyDescent="0.15">
      <c r="A208" s="25" t="s">
        <v>1041</v>
      </c>
      <c r="B208" s="25" t="s">
        <v>665</v>
      </c>
      <c r="C208" s="25" t="s">
        <v>666</v>
      </c>
      <c r="D208" s="25" t="s">
        <v>667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9730</f>
        <v>9730</v>
      </c>
      <c r="L208" s="32" t="s">
        <v>909</v>
      </c>
      <c r="M208" s="31">
        <f>10350</f>
        <v>10350</v>
      </c>
      <c r="N208" s="32" t="s">
        <v>815</v>
      </c>
      <c r="O208" s="31">
        <f>9600</f>
        <v>9600</v>
      </c>
      <c r="P208" s="32" t="s">
        <v>811</v>
      </c>
      <c r="Q208" s="31">
        <f>10255</f>
        <v>10255</v>
      </c>
      <c r="R208" s="32" t="s">
        <v>934</v>
      </c>
      <c r="S208" s="33">
        <f>10027.8</f>
        <v>10027.799999999999</v>
      </c>
      <c r="T208" s="30">
        <f>13011</f>
        <v>13011</v>
      </c>
      <c r="U208" s="30" t="str">
        <f t="shared" si="10"/>
        <v>－</v>
      </c>
      <c r="V208" s="30">
        <f>132723427</f>
        <v>132723427</v>
      </c>
      <c r="W208" s="30" t="str">
        <f t="shared" si="11"/>
        <v>－</v>
      </c>
      <c r="X208" s="34">
        <f>15</f>
        <v>15</v>
      </c>
    </row>
    <row r="209" spans="1:24" x14ac:dyDescent="0.15">
      <c r="A209" s="25" t="s">
        <v>1041</v>
      </c>
      <c r="B209" s="25" t="s">
        <v>945</v>
      </c>
      <c r="C209" s="25" t="s">
        <v>946</v>
      </c>
      <c r="D209" s="25" t="s">
        <v>947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10400</f>
        <v>10400</v>
      </c>
      <c r="L209" s="32" t="s">
        <v>821</v>
      </c>
      <c r="M209" s="31">
        <f>10575</f>
        <v>10575</v>
      </c>
      <c r="N209" s="32" t="s">
        <v>94</v>
      </c>
      <c r="O209" s="31">
        <f>10400</f>
        <v>10400</v>
      </c>
      <c r="P209" s="32" t="s">
        <v>821</v>
      </c>
      <c r="Q209" s="31">
        <f>10575</f>
        <v>10575</v>
      </c>
      <c r="R209" s="32" t="s">
        <v>94</v>
      </c>
      <c r="S209" s="33">
        <f>10492.5</f>
        <v>10492.5</v>
      </c>
      <c r="T209" s="30">
        <f>502</f>
        <v>502</v>
      </c>
      <c r="U209" s="30" t="str">
        <f t="shared" si="10"/>
        <v>－</v>
      </c>
      <c r="V209" s="30">
        <f>5253200</f>
        <v>5253200</v>
      </c>
      <c r="W209" s="30" t="str">
        <f t="shared" si="11"/>
        <v>－</v>
      </c>
      <c r="X209" s="34">
        <f>2</f>
        <v>2</v>
      </c>
    </row>
    <row r="210" spans="1:24" x14ac:dyDescent="0.15">
      <c r="A210" s="25" t="s">
        <v>1041</v>
      </c>
      <c r="B210" s="25" t="s">
        <v>668</v>
      </c>
      <c r="C210" s="25" t="s">
        <v>669</v>
      </c>
      <c r="D210" s="25" t="s">
        <v>670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951.4</f>
        <v>951.4</v>
      </c>
      <c r="L210" s="32" t="s">
        <v>904</v>
      </c>
      <c r="M210" s="31">
        <f>957</f>
        <v>957</v>
      </c>
      <c r="N210" s="32" t="s">
        <v>820</v>
      </c>
      <c r="O210" s="31">
        <f>945.1</f>
        <v>945.1</v>
      </c>
      <c r="P210" s="32" t="s">
        <v>811</v>
      </c>
      <c r="Q210" s="31">
        <f>948.4</f>
        <v>948.4</v>
      </c>
      <c r="R210" s="32" t="s">
        <v>934</v>
      </c>
      <c r="S210" s="33">
        <f>950.09</f>
        <v>950.09</v>
      </c>
      <c r="T210" s="30">
        <f>2751230</f>
        <v>2751230</v>
      </c>
      <c r="U210" s="30">
        <f>1056080</f>
        <v>1056080</v>
      </c>
      <c r="V210" s="30">
        <f>2610955663</f>
        <v>2610955663</v>
      </c>
      <c r="W210" s="30">
        <f>1001941951</f>
        <v>1001941951</v>
      </c>
      <c r="X210" s="34">
        <f>20</f>
        <v>20</v>
      </c>
    </row>
    <row r="211" spans="1:24" x14ac:dyDescent="0.15">
      <c r="A211" s="25" t="s">
        <v>1041</v>
      </c>
      <c r="B211" s="25" t="s">
        <v>671</v>
      </c>
      <c r="C211" s="25" t="s">
        <v>672</v>
      </c>
      <c r="D211" s="25" t="s">
        <v>673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1024</f>
        <v>1024</v>
      </c>
      <c r="L211" s="32" t="s">
        <v>904</v>
      </c>
      <c r="M211" s="31">
        <f>1025</f>
        <v>1025</v>
      </c>
      <c r="N211" s="32" t="s">
        <v>904</v>
      </c>
      <c r="O211" s="31">
        <f>987</f>
        <v>987</v>
      </c>
      <c r="P211" s="32" t="s">
        <v>695</v>
      </c>
      <c r="Q211" s="31">
        <f>1001</f>
        <v>1001</v>
      </c>
      <c r="R211" s="32" t="s">
        <v>934</v>
      </c>
      <c r="S211" s="33">
        <f>1006.66</f>
        <v>1006.66</v>
      </c>
      <c r="T211" s="30">
        <f>1411910</f>
        <v>1411910</v>
      </c>
      <c r="U211" s="30">
        <f>308560</f>
        <v>308560</v>
      </c>
      <c r="V211" s="30">
        <f>1417323289</f>
        <v>1417323289</v>
      </c>
      <c r="W211" s="30">
        <f>309990380</f>
        <v>309990380</v>
      </c>
      <c r="X211" s="34">
        <f>20</f>
        <v>20</v>
      </c>
    </row>
    <row r="212" spans="1:24" x14ac:dyDescent="0.15">
      <c r="A212" s="25" t="s">
        <v>1041</v>
      </c>
      <c r="B212" s="25" t="s">
        <v>674</v>
      </c>
      <c r="C212" s="25" t="s">
        <v>675</v>
      </c>
      <c r="D212" s="25" t="s">
        <v>676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838.6</f>
        <v>838.6</v>
      </c>
      <c r="L212" s="32" t="s">
        <v>904</v>
      </c>
      <c r="M212" s="31">
        <f>854.2</f>
        <v>854.2</v>
      </c>
      <c r="N212" s="32" t="s">
        <v>815</v>
      </c>
      <c r="O212" s="31">
        <f>825</f>
        <v>825</v>
      </c>
      <c r="P212" s="32" t="s">
        <v>912</v>
      </c>
      <c r="Q212" s="31">
        <f>850</f>
        <v>850</v>
      </c>
      <c r="R212" s="32" t="s">
        <v>934</v>
      </c>
      <c r="S212" s="33">
        <f>841.4</f>
        <v>841.4</v>
      </c>
      <c r="T212" s="30">
        <f>3366460</f>
        <v>3366460</v>
      </c>
      <c r="U212" s="30">
        <f>2629510</f>
        <v>2629510</v>
      </c>
      <c r="V212" s="30">
        <f>2834689110</f>
        <v>2834689110</v>
      </c>
      <c r="W212" s="30">
        <f>2215807546</f>
        <v>2215807546</v>
      </c>
      <c r="X212" s="34">
        <f>20</f>
        <v>20</v>
      </c>
    </row>
    <row r="213" spans="1:24" x14ac:dyDescent="0.15">
      <c r="A213" s="25" t="s">
        <v>1041</v>
      </c>
      <c r="B213" s="25" t="s">
        <v>677</v>
      </c>
      <c r="C213" s="25" t="s">
        <v>678</v>
      </c>
      <c r="D213" s="25" t="s">
        <v>679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1727.5</f>
        <v>1727.5</v>
      </c>
      <c r="L213" s="32" t="s">
        <v>904</v>
      </c>
      <c r="M213" s="31">
        <f>1735.5</f>
        <v>1735.5</v>
      </c>
      <c r="N213" s="32" t="s">
        <v>904</v>
      </c>
      <c r="O213" s="31">
        <f>1660.5</f>
        <v>1660.5</v>
      </c>
      <c r="P213" s="32" t="s">
        <v>811</v>
      </c>
      <c r="Q213" s="31">
        <f>1684</f>
        <v>1684</v>
      </c>
      <c r="R213" s="32" t="s">
        <v>934</v>
      </c>
      <c r="S213" s="33">
        <f>1698.55</f>
        <v>1698.55</v>
      </c>
      <c r="T213" s="30">
        <f>1557070</f>
        <v>1557070</v>
      </c>
      <c r="U213" s="30">
        <f>719670</f>
        <v>719670</v>
      </c>
      <c r="V213" s="30">
        <f>2632359822</f>
        <v>2632359822</v>
      </c>
      <c r="W213" s="30">
        <f>1215987492</f>
        <v>1215987492</v>
      </c>
      <c r="X213" s="34">
        <f>20</f>
        <v>20</v>
      </c>
    </row>
    <row r="214" spans="1:24" x14ac:dyDescent="0.15">
      <c r="A214" s="25" t="s">
        <v>1041</v>
      </c>
      <c r="B214" s="25" t="s">
        <v>680</v>
      </c>
      <c r="C214" s="25" t="s">
        <v>681</v>
      </c>
      <c r="D214" s="25" t="s">
        <v>682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1281</f>
        <v>1281</v>
      </c>
      <c r="L214" s="32" t="s">
        <v>904</v>
      </c>
      <c r="M214" s="31">
        <f>1360.5</f>
        <v>1360.5</v>
      </c>
      <c r="N214" s="32" t="s">
        <v>94</v>
      </c>
      <c r="O214" s="31">
        <f>1236.5</f>
        <v>1236.5</v>
      </c>
      <c r="P214" s="32" t="s">
        <v>811</v>
      </c>
      <c r="Q214" s="31">
        <f>1318</f>
        <v>1318</v>
      </c>
      <c r="R214" s="32" t="s">
        <v>934</v>
      </c>
      <c r="S214" s="33">
        <f>1301.33</f>
        <v>1301.33</v>
      </c>
      <c r="T214" s="30">
        <f>144000</f>
        <v>144000</v>
      </c>
      <c r="U214" s="30">
        <f>12360</f>
        <v>12360</v>
      </c>
      <c r="V214" s="30">
        <f>188561087</f>
        <v>188561087</v>
      </c>
      <c r="W214" s="30">
        <f>16253202</f>
        <v>16253202</v>
      </c>
      <c r="X214" s="34">
        <f>20</f>
        <v>20</v>
      </c>
    </row>
    <row r="215" spans="1:24" x14ac:dyDescent="0.15">
      <c r="A215" s="25" t="s">
        <v>1041</v>
      </c>
      <c r="B215" s="25" t="s">
        <v>683</v>
      </c>
      <c r="C215" s="25" t="s">
        <v>684</v>
      </c>
      <c r="D215" s="25" t="s">
        <v>685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1234</f>
        <v>1234</v>
      </c>
      <c r="L215" s="32" t="s">
        <v>904</v>
      </c>
      <c r="M215" s="31">
        <f>1247</f>
        <v>1247</v>
      </c>
      <c r="N215" s="32" t="s">
        <v>821</v>
      </c>
      <c r="O215" s="31">
        <f>1187.5</f>
        <v>1187.5</v>
      </c>
      <c r="P215" s="32" t="s">
        <v>936</v>
      </c>
      <c r="Q215" s="31">
        <f>1209</f>
        <v>1209</v>
      </c>
      <c r="R215" s="32" t="s">
        <v>934</v>
      </c>
      <c r="S215" s="33">
        <f>1213.3</f>
        <v>1213.3</v>
      </c>
      <c r="T215" s="30">
        <f>427170</f>
        <v>427170</v>
      </c>
      <c r="U215" s="30">
        <f>147110</f>
        <v>147110</v>
      </c>
      <c r="V215" s="30">
        <f>516947981</f>
        <v>516947981</v>
      </c>
      <c r="W215" s="30">
        <f>177652526</f>
        <v>177652526</v>
      </c>
      <c r="X215" s="34">
        <f>20</f>
        <v>20</v>
      </c>
    </row>
    <row r="216" spans="1:24" x14ac:dyDescent="0.15">
      <c r="A216" s="25" t="s">
        <v>1041</v>
      </c>
      <c r="B216" s="25" t="s">
        <v>686</v>
      </c>
      <c r="C216" s="25" t="s">
        <v>687</v>
      </c>
      <c r="D216" s="25" t="s">
        <v>688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576.6</f>
        <v>576.6</v>
      </c>
      <c r="L216" s="32" t="s">
        <v>904</v>
      </c>
      <c r="M216" s="31">
        <f>622.8</f>
        <v>622.79999999999995</v>
      </c>
      <c r="N216" s="32" t="s">
        <v>936</v>
      </c>
      <c r="O216" s="31">
        <f>559.4</f>
        <v>559.4</v>
      </c>
      <c r="P216" s="32" t="s">
        <v>811</v>
      </c>
      <c r="Q216" s="31">
        <f>613.4</f>
        <v>613.4</v>
      </c>
      <c r="R216" s="32" t="s">
        <v>934</v>
      </c>
      <c r="S216" s="33">
        <f>595.12</f>
        <v>595.12</v>
      </c>
      <c r="T216" s="30">
        <f>29749150</f>
        <v>29749150</v>
      </c>
      <c r="U216" s="30">
        <f>2692740</f>
        <v>2692740</v>
      </c>
      <c r="V216" s="30">
        <f>17801846556</f>
        <v>17801846556</v>
      </c>
      <c r="W216" s="30">
        <f>1640862778</f>
        <v>1640862778</v>
      </c>
      <c r="X216" s="34">
        <f>20</f>
        <v>20</v>
      </c>
    </row>
    <row r="217" spans="1:24" x14ac:dyDescent="0.15">
      <c r="A217" s="25" t="s">
        <v>1041</v>
      </c>
      <c r="B217" s="25" t="s">
        <v>689</v>
      </c>
      <c r="C217" s="25" t="s">
        <v>690</v>
      </c>
      <c r="D217" s="25" t="s">
        <v>691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1182</f>
        <v>1182</v>
      </c>
      <c r="L217" s="32" t="s">
        <v>904</v>
      </c>
      <c r="M217" s="31">
        <f>1195.5</f>
        <v>1195.5</v>
      </c>
      <c r="N217" s="32" t="s">
        <v>909</v>
      </c>
      <c r="O217" s="31">
        <f>1146.5</f>
        <v>1146.5</v>
      </c>
      <c r="P217" s="32" t="s">
        <v>915</v>
      </c>
      <c r="Q217" s="31">
        <f>1165.5</f>
        <v>1165.5</v>
      </c>
      <c r="R217" s="32" t="s">
        <v>934</v>
      </c>
      <c r="S217" s="33">
        <f>1162.05</f>
        <v>1162.05</v>
      </c>
      <c r="T217" s="30">
        <f>111970</f>
        <v>111970</v>
      </c>
      <c r="U217" s="30">
        <f>40</f>
        <v>40</v>
      </c>
      <c r="V217" s="30">
        <f>130234165</f>
        <v>130234165</v>
      </c>
      <c r="W217" s="30">
        <f>46360</f>
        <v>46360</v>
      </c>
      <c r="X217" s="34">
        <f>20</f>
        <v>20</v>
      </c>
    </row>
    <row r="218" spans="1:24" x14ac:dyDescent="0.15">
      <c r="A218" s="25" t="s">
        <v>1041</v>
      </c>
      <c r="B218" s="25" t="s">
        <v>692</v>
      </c>
      <c r="C218" s="25" t="s">
        <v>693</v>
      </c>
      <c r="D218" s="25" t="s">
        <v>694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1070</f>
        <v>1070</v>
      </c>
      <c r="L218" s="32" t="s">
        <v>904</v>
      </c>
      <c r="M218" s="31">
        <f>1116</f>
        <v>1116</v>
      </c>
      <c r="N218" s="32" t="s">
        <v>820</v>
      </c>
      <c r="O218" s="31">
        <f>1047</f>
        <v>1047</v>
      </c>
      <c r="P218" s="32" t="s">
        <v>811</v>
      </c>
      <c r="Q218" s="31">
        <f>1091</f>
        <v>1091</v>
      </c>
      <c r="R218" s="32" t="s">
        <v>934</v>
      </c>
      <c r="S218" s="33">
        <f>1085.35</f>
        <v>1085.3499999999999</v>
      </c>
      <c r="T218" s="30">
        <f>11691</f>
        <v>11691</v>
      </c>
      <c r="U218" s="30" t="str">
        <f>"－"</f>
        <v>－</v>
      </c>
      <c r="V218" s="30">
        <f>12735663</f>
        <v>12735663</v>
      </c>
      <c r="W218" s="30" t="str">
        <f>"－"</f>
        <v>－</v>
      </c>
      <c r="X218" s="34">
        <f>20</f>
        <v>20</v>
      </c>
    </row>
    <row r="219" spans="1:24" x14ac:dyDescent="0.15">
      <c r="A219" s="25" t="s">
        <v>1041</v>
      </c>
      <c r="B219" s="25" t="s">
        <v>696</v>
      </c>
      <c r="C219" s="25" t="s">
        <v>697</v>
      </c>
      <c r="D219" s="25" t="s">
        <v>698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915</f>
        <v>915</v>
      </c>
      <c r="L219" s="32" t="s">
        <v>904</v>
      </c>
      <c r="M219" s="31">
        <f>935.2</f>
        <v>935.2</v>
      </c>
      <c r="N219" s="32" t="s">
        <v>94</v>
      </c>
      <c r="O219" s="31">
        <f>890.9</f>
        <v>890.9</v>
      </c>
      <c r="P219" s="32" t="s">
        <v>695</v>
      </c>
      <c r="Q219" s="31">
        <f>925</f>
        <v>925</v>
      </c>
      <c r="R219" s="32" t="s">
        <v>934</v>
      </c>
      <c r="S219" s="33">
        <f>915.04</f>
        <v>915.04</v>
      </c>
      <c r="T219" s="30">
        <f>45120</f>
        <v>45120</v>
      </c>
      <c r="U219" s="30" t="str">
        <f>"－"</f>
        <v>－</v>
      </c>
      <c r="V219" s="30">
        <f>41072562</f>
        <v>41072562</v>
      </c>
      <c r="W219" s="30" t="str">
        <f>"－"</f>
        <v>－</v>
      </c>
      <c r="X219" s="34">
        <f>20</f>
        <v>20</v>
      </c>
    </row>
    <row r="220" spans="1:24" x14ac:dyDescent="0.15">
      <c r="A220" s="25" t="s">
        <v>1041</v>
      </c>
      <c r="B220" s="25" t="s">
        <v>699</v>
      </c>
      <c r="C220" s="25" t="s">
        <v>700</v>
      </c>
      <c r="D220" s="25" t="s">
        <v>701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1095</f>
        <v>1095</v>
      </c>
      <c r="L220" s="32" t="s">
        <v>904</v>
      </c>
      <c r="M220" s="31">
        <f>1176</f>
        <v>1176</v>
      </c>
      <c r="N220" s="32" t="s">
        <v>915</v>
      </c>
      <c r="O220" s="31">
        <f>1095</f>
        <v>1095</v>
      </c>
      <c r="P220" s="32" t="s">
        <v>904</v>
      </c>
      <c r="Q220" s="31">
        <f>1161.5</f>
        <v>1161.5</v>
      </c>
      <c r="R220" s="32" t="s">
        <v>934</v>
      </c>
      <c r="S220" s="33">
        <f>1143.55</f>
        <v>1143.55</v>
      </c>
      <c r="T220" s="30">
        <f>79780</f>
        <v>79780</v>
      </c>
      <c r="U220" s="30" t="str">
        <f>"－"</f>
        <v>－</v>
      </c>
      <c r="V220" s="30">
        <f>90872555</f>
        <v>90872555</v>
      </c>
      <c r="W220" s="30" t="str">
        <f>"－"</f>
        <v>－</v>
      </c>
      <c r="X220" s="34">
        <f>20</f>
        <v>20</v>
      </c>
    </row>
    <row r="221" spans="1:24" x14ac:dyDescent="0.15">
      <c r="A221" s="25" t="s">
        <v>1041</v>
      </c>
      <c r="B221" s="25" t="s">
        <v>702</v>
      </c>
      <c r="C221" s="25" t="s">
        <v>703</v>
      </c>
      <c r="D221" s="25" t="s">
        <v>704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1325</f>
        <v>1325</v>
      </c>
      <c r="L221" s="32" t="s">
        <v>904</v>
      </c>
      <c r="M221" s="31">
        <f>1374</f>
        <v>1374</v>
      </c>
      <c r="N221" s="32" t="s">
        <v>815</v>
      </c>
      <c r="O221" s="31">
        <f>1268.5</f>
        <v>1268.5</v>
      </c>
      <c r="P221" s="32" t="s">
        <v>811</v>
      </c>
      <c r="Q221" s="31">
        <f>1349</f>
        <v>1349</v>
      </c>
      <c r="R221" s="32" t="s">
        <v>934</v>
      </c>
      <c r="S221" s="33">
        <f>1336.33</f>
        <v>1336.33</v>
      </c>
      <c r="T221" s="30">
        <f>15283360</f>
        <v>15283360</v>
      </c>
      <c r="U221" s="30">
        <f>7850100</f>
        <v>7850100</v>
      </c>
      <c r="V221" s="30">
        <f>20617192707</f>
        <v>20617192707</v>
      </c>
      <c r="W221" s="30">
        <f>10680341907</f>
        <v>10680341907</v>
      </c>
      <c r="X221" s="34">
        <f>20</f>
        <v>20</v>
      </c>
    </row>
    <row r="222" spans="1:24" x14ac:dyDescent="0.15">
      <c r="A222" s="25" t="s">
        <v>1041</v>
      </c>
      <c r="B222" s="25" t="s">
        <v>705</v>
      </c>
      <c r="C222" s="25" t="s">
        <v>706</v>
      </c>
      <c r="D222" s="25" t="s">
        <v>707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3535</f>
        <v>3535</v>
      </c>
      <c r="L222" s="32" t="s">
        <v>904</v>
      </c>
      <c r="M222" s="31">
        <f>3695</f>
        <v>3695</v>
      </c>
      <c r="N222" s="32" t="s">
        <v>906</v>
      </c>
      <c r="O222" s="31">
        <f>3390</f>
        <v>3390</v>
      </c>
      <c r="P222" s="32" t="s">
        <v>70</v>
      </c>
      <c r="Q222" s="31">
        <f>3525</f>
        <v>3525</v>
      </c>
      <c r="R222" s="32" t="s">
        <v>934</v>
      </c>
      <c r="S222" s="33">
        <f>3555.5</f>
        <v>3555.5</v>
      </c>
      <c r="T222" s="30">
        <f>36987</f>
        <v>36987</v>
      </c>
      <c r="U222" s="30" t="str">
        <f>"－"</f>
        <v>－</v>
      </c>
      <c r="V222" s="30">
        <f>130158520</f>
        <v>130158520</v>
      </c>
      <c r="W222" s="30" t="str">
        <f>"－"</f>
        <v>－</v>
      </c>
      <c r="X222" s="34">
        <f>20</f>
        <v>20</v>
      </c>
    </row>
    <row r="223" spans="1:24" x14ac:dyDescent="0.15">
      <c r="A223" s="25" t="s">
        <v>1041</v>
      </c>
      <c r="B223" s="25" t="s">
        <v>708</v>
      </c>
      <c r="C223" s="25" t="s">
        <v>709</v>
      </c>
      <c r="D223" s="25" t="s">
        <v>710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1627</f>
        <v>1627</v>
      </c>
      <c r="L223" s="32" t="s">
        <v>909</v>
      </c>
      <c r="M223" s="31">
        <f>1743.5</f>
        <v>1743.5</v>
      </c>
      <c r="N223" s="32" t="s">
        <v>820</v>
      </c>
      <c r="O223" s="31">
        <f>1591</f>
        <v>1591</v>
      </c>
      <c r="P223" s="32" t="s">
        <v>70</v>
      </c>
      <c r="Q223" s="31">
        <f>1689.5</f>
        <v>1689.5</v>
      </c>
      <c r="R223" s="32" t="s">
        <v>934</v>
      </c>
      <c r="S223" s="33">
        <f>1659.32</f>
        <v>1659.32</v>
      </c>
      <c r="T223" s="30">
        <f>8670</f>
        <v>8670</v>
      </c>
      <c r="U223" s="30" t="str">
        <f>"－"</f>
        <v>－</v>
      </c>
      <c r="V223" s="30">
        <f>14589430</f>
        <v>14589430</v>
      </c>
      <c r="W223" s="30" t="str">
        <f>"－"</f>
        <v>－</v>
      </c>
      <c r="X223" s="34">
        <f>11</f>
        <v>11</v>
      </c>
    </row>
    <row r="224" spans="1:24" x14ac:dyDescent="0.15">
      <c r="A224" s="25" t="s">
        <v>1041</v>
      </c>
      <c r="B224" s="25" t="s">
        <v>711</v>
      </c>
      <c r="C224" s="25" t="s">
        <v>712</v>
      </c>
      <c r="D224" s="25" t="s">
        <v>713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1958.5</f>
        <v>1958.5</v>
      </c>
      <c r="L224" s="32" t="s">
        <v>811</v>
      </c>
      <c r="M224" s="31">
        <f>2070</f>
        <v>2070</v>
      </c>
      <c r="N224" s="32" t="s">
        <v>820</v>
      </c>
      <c r="O224" s="31">
        <f>1958.5</f>
        <v>1958.5</v>
      </c>
      <c r="P224" s="32" t="s">
        <v>811</v>
      </c>
      <c r="Q224" s="31">
        <f>2035.5</f>
        <v>2035.5</v>
      </c>
      <c r="R224" s="32" t="s">
        <v>934</v>
      </c>
      <c r="S224" s="33">
        <f>2024.05</f>
        <v>2024.05</v>
      </c>
      <c r="T224" s="30">
        <f>111150</f>
        <v>111150</v>
      </c>
      <c r="U224" s="30">
        <f>67000</f>
        <v>67000</v>
      </c>
      <c r="V224" s="30">
        <f>224034563</f>
        <v>224034563</v>
      </c>
      <c r="W224" s="30">
        <f>134773568</f>
        <v>134773568</v>
      </c>
      <c r="X224" s="34">
        <f>11</f>
        <v>11</v>
      </c>
    </row>
    <row r="225" spans="1:24" x14ac:dyDescent="0.15">
      <c r="A225" s="25" t="s">
        <v>1041</v>
      </c>
      <c r="B225" s="25" t="s">
        <v>714</v>
      </c>
      <c r="C225" s="25" t="s">
        <v>715</v>
      </c>
      <c r="D225" s="25" t="s">
        <v>716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28080</f>
        <v>28080</v>
      </c>
      <c r="L225" s="32" t="s">
        <v>909</v>
      </c>
      <c r="M225" s="31">
        <f>28915</f>
        <v>28915</v>
      </c>
      <c r="N225" s="32" t="s">
        <v>820</v>
      </c>
      <c r="O225" s="31">
        <f>27540</f>
        <v>27540</v>
      </c>
      <c r="P225" s="32" t="s">
        <v>811</v>
      </c>
      <c r="Q225" s="31">
        <f>28495</f>
        <v>28495</v>
      </c>
      <c r="R225" s="32" t="s">
        <v>936</v>
      </c>
      <c r="S225" s="33">
        <f>28362</f>
        <v>28362</v>
      </c>
      <c r="T225" s="30">
        <f>83634</f>
        <v>83634</v>
      </c>
      <c r="U225" s="30">
        <f>77200</f>
        <v>77200</v>
      </c>
      <c r="V225" s="30">
        <f>2347810471</f>
        <v>2347810471</v>
      </c>
      <c r="W225" s="30">
        <f>2166254761</f>
        <v>2166254761</v>
      </c>
      <c r="X225" s="34">
        <f>15</f>
        <v>15</v>
      </c>
    </row>
    <row r="226" spans="1:24" x14ac:dyDescent="0.15">
      <c r="A226" s="25" t="s">
        <v>1041</v>
      </c>
      <c r="B226" s="25" t="s">
        <v>717</v>
      </c>
      <c r="C226" s="25" t="s">
        <v>718</v>
      </c>
      <c r="D226" s="25" t="s">
        <v>719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17710</f>
        <v>17710</v>
      </c>
      <c r="L226" s="32" t="s">
        <v>904</v>
      </c>
      <c r="M226" s="31">
        <f>18595</f>
        <v>18595</v>
      </c>
      <c r="N226" s="32" t="s">
        <v>820</v>
      </c>
      <c r="O226" s="31">
        <f>17710</f>
        <v>17710</v>
      </c>
      <c r="P226" s="32" t="s">
        <v>904</v>
      </c>
      <c r="Q226" s="31">
        <f>18245</f>
        <v>18245</v>
      </c>
      <c r="R226" s="32" t="s">
        <v>934</v>
      </c>
      <c r="S226" s="33">
        <f>18126.67</f>
        <v>18126.669999999998</v>
      </c>
      <c r="T226" s="30">
        <f>4064</f>
        <v>4064</v>
      </c>
      <c r="U226" s="30" t="str">
        <f>"－"</f>
        <v>－</v>
      </c>
      <c r="V226" s="30">
        <f>73129475</f>
        <v>73129475</v>
      </c>
      <c r="W226" s="30" t="str">
        <f>"－"</f>
        <v>－</v>
      </c>
      <c r="X226" s="34">
        <f>9</f>
        <v>9</v>
      </c>
    </row>
    <row r="227" spans="1:24" x14ac:dyDescent="0.15">
      <c r="A227" s="25" t="s">
        <v>1041</v>
      </c>
      <c r="B227" s="25" t="s">
        <v>720</v>
      </c>
      <c r="C227" s="25" t="s">
        <v>721</v>
      </c>
      <c r="D227" s="25" t="s">
        <v>722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1183.5</f>
        <v>1183.5</v>
      </c>
      <c r="L227" s="32" t="s">
        <v>904</v>
      </c>
      <c r="M227" s="31">
        <f>1191</f>
        <v>1191</v>
      </c>
      <c r="N227" s="32" t="s">
        <v>909</v>
      </c>
      <c r="O227" s="31">
        <f>1164.5</f>
        <v>1164.5</v>
      </c>
      <c r="P227" s="32" t="s">
        <v>814</v>
      </c>
      <c r="Q227" s="31">
        <f>1182.5</f>
        <v>1182.5</v>
      </c>
      <c r="R227" s="32" t="s">
        <v>934</v>
      </c>
      <c r="S227" s="33">
        <f>1179.67</f>
        <v>1179.67</v>
      </c>
      <c r="T227" s="30">
        <f>20330</f>
        <v>20330</v>
      </c>
      <c r="U227" s="30" t="str">
        <f>"－"</f>
        <v>－</v>
      </c>
      <c r="V227" s="30">
        <f>24057590</f>
        <v>24057590</v>
      </c>
      <c r="W227" s="30" t="str">
        <f>"－"</f>
        <v>－</v>
      </c>
      <c r="X227" s="34">
        <f>6</f>
        <v>6</v>
      </c>
    </row>
    <row r="228" spans="1:24" x14ac:dyDescent="0.15">
      <c r="A228" s="25" t="s">
        <v>1041</v>
      </c>
      <c r="B228" s="25" t="s">
        <v>723</v>
      </c>
      <c r="C228" s="25" t="s">
        <v>724</v>
      </c>
      <c r="D228" s="25" t="s">
        <v>725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1170</f>
        <v>1170</v>
      </c>
      <c r="L228" s="32" t="s">
        <v>904</v>
      </c>
      <c r="M228" s="31">
        <f>1185</f>
        <v>1185</v>
      </c>
      <c r="N228" s="32" t="s">
        <v>904</v>
      </c>
      <c r="O228" s="31">
        <f>1150</f>
        <v>1150</v>
      </c>
      <c r="P228" s="32" t="s">
        <v>915</v>
      </c>
      <c r="Q228" s="31">
        <f>1169.5</f>
        <v>1169.5</v>
      </c>
      <c r="R228" s="32" t="s">
        <v>934</v>
      </c>
      <c r="S228" s="33">
        <f>1163.08</f>
        <v>1163.08</v>
      </c>
      <c r="T228" s="30">
        <f>209220</f>
        <v>209220</v>
      </c>
      <c r="U228" s="30">
        <f>106000</f>
        <v>106000</v>
      </c>
      <c r="V228" s="30">
        <f>243923065</f>
        <v>243923065</v>
      </c>
      <c r="W228" s="30">
        <f>123605000</f>
        <v>123605000</v>
      </c>
      <c r="X228" s="34">
        <f>19</f>
        <v>19</v>
      </c>
    </row>
    <row r="229" spans="1:24" x14ac:dyDescent="0.15">
      <c r="A229" s="25" t="s">
        <v>1041</v>
      </c>
      <c r="B229" s="25" t="s">
        <v>726</v>
      </c>
      <c r="C229" s="25" t="s">
        <v>727</v>
      </c>
      <c r="D229" s="25" t="s">
        <v>728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1222</f>
        <v>1222</v>
      </c>
      <c r="L229" s="32" t="s">
        <v>904</v>
      </c>
      <c r="M229" s="31">
        <f>1260</f>
        <v>1260</v>
      </c>
      <c r="N229" s="32" t="s">
        <v>94</v>
      </c>
      <c r="O229" s="31">
        <f>1210</f>
        <v>1210</v>
      </c>
      <c r="P229" s="32" t="s">
        <v>906</v>
      </c>
      <c r="Q229" s="31">
        <f>1246</f>
        <v>1246</v>
      </c>
      <c r="R229" s="32" t="s">
        <v>934</v>
      </c>
      <c r="S229" s="33">
        <f>1233.2</f>
        <v>1233.2</v>
      </c>
      <c r="T229" s="30">
        <f>111319</f>
        <v>111319</v>
      </c>
      <c r="U229" s="30">
        <f>596</f>
        <v>596</v>
      </c>
      <c r="V229" s="30">
        <f>137144130</f>
        <v>137144130</v>
      </c>
      <c r="W229" s="30">
        <f>691961</f>
        <v>691961</v>
      </c>
      <c r="X229" s="34">
        <f>20</f>
        <v>20</v>
      </c>
    </row>
    <row r="230" spans="1:24" x14ac:dyDescent="0.15">
      <c r="A230" s="25" t="s">
        <v>1041</v>
      </c>
      <c r="B230" s="25" t="s">
        <v>729</v>
      </c>
      <c r="C230" s="25" t="s">
        <v>730</v>
      </c>
      <c r="D230" s="25" t="s">
        <v>731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12455</f>
        <v>12455</v>
      </c>
      <c r="L230" s="32" t="s">
        <v>904</v>
      </c>
      <c r="M230" s="31">
        <f>13230</f>
        <v>13230</v>
      </c>
      <c r="N230" s="32" t="s">
        <v>70</v>
      </c>
      <c r="O230" s="31">
        <f>12140</f>
        <v>12140</v>
      </c>
      <c r="P230" s="32" t="s">
        <v>94</v>
      </c>
      <c r="Q230" s="31">
        <f>12900</f>
        <v>12900</v>
      </c>
      <c r="R230" s="32" t="s">
        <v>934</v>
      </c>
      <c r="S230" s="33">
        <f>12705</f>
        <v>12705</v>
      </c>
      <c r="T230" s="30">
        <f>3954</f>
        <v>3954</v>
      </c>
      <c r="U230" s="30" t="str">
        <f>"－"</f>
        <v>－</v>
      </c>
      <c r="V230" s="30">
        <f>50098620</f>
        <v>50098620</v>
      </c>
      <c r="W230" s="30" t="str">
        <f>"－"</f>
        <v>－</v>
      </c>
      <c r="X230" s="34">
        <f>20</f>
        <v>20</v>
      </c>
    </row>
    <row r="231" spans="1:24" x14ac:dyDescent="0.15">
      <c r="A231" s="25" t="s">
        <v>1041</v>
      </c>
      <c r="B231" s="25" t="s">
        <v>732</v>
      </c>
      <c r="C231" s="25" t="s">
        <v>733</v>
      </c>
      <c r="D231" s="25" t="s">
        <v>734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2116</f>
        <v>2116</v>
      </c>
      <c r="L231" s="32" t="s">
        <v>904</v>
      </c>
      <c r="M231" s="31">
        <f>2142</f>
        <v>2142</v>
      </c>
      <c r="N231" s="32" t="s">
        <v>904</v>
      </c>
      <c r="O231" s="31">
        <f>2031</f>
        <v>2031</v>
      </c>
      <c r="P231" s="32" t="s">
        <v>912</v>
      </c>
      <c r="Q231" s="31">
        <f>2106</f>
        <v>2106</v>
      </c>
      <c r="R231" s="32" t="s">
        <v>934</v>
      </c>
      <c r="S231" s="33">
        <f>2096.1</f>
        <v>2096.1</v>
      </c>
      <c r="T231" s="30">
        <f>448632</f>
        <v>448632</v>
      </c>
      <c r="U231" s="30">
        <f>440000</f>
        <v>440000</v>
      </c>
      <c r="V231" s="30">
        <f>947695526</f>
        <v>947695526</v>
      </c>
      <c r="W231" s="30">
        <f>929588000</f>
        <v>929588000</v>
      </c>
      <c r="X231" s="34">
        <f>20</f>
        <v>20</v>
      </c>
    </row>
    <row r="232" spans="1:24" x14ac:dyDescent="0.15">
      <c r="A232" s="25" t="s">
        <v>1041</v>
      </c>
      <c r="B232" s="25" t="s">
        <v>735</v>
      </c>
      <c r="C232" s="25" t="s">
        <v>736</v>
      </c>
      <c r="D232" s="25" t="s">
        <v>737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1584.5</f>
        <v>1584.5</v>
      </c>
      <c r="L232" s="32" t="s">
        <v>904</v>
      </c>
      <c r="M232" s="31">
        <f>1729.5</f>
        <v>1729.5</v>
      </c>
      <c r="N232" s="32" t="s">
        <v>912</v>
      </c>
      <c r="O232" s="31">
        <f>1538</f>
        <v>1538</v>
      </c>
      <c r="P232" s="32" t="s">
        <v>94</v>
      </c>
      <c r="Q232" s="31">
        <f>1614</f>
        <v>1614</v>
      </c>
      <c r="R232" s="32" t="s">
        <v>934</v>
      </c>
      <c r="S232" s="33">
        <f>1634.18</f>
        <v>1634.18</v>
      </c>
      <c r="T232" s="30">
        <f>1750</f>
        <v>1750</v>
      </c>
      <c r="U232" s="30" t="str">
        <f>"－"</f>
        <v>－</v>
      </c>
      <c r="V232" s="30">
        <f>2872445</f>
        <v>2872445</v>
      </c>
      <c r="W232" s="30" t="str">
        <f>"－"</f>
        <v>－</v>
      </c>
      <c r="X232" s="34">
        <f>17</f>
        <v>17</v>
      </c>
    </row>
    <row r="233" spans="1:24" x14ac:dyDescent="0.15">
      <c r="A233" s="25" t="s">
        <v>1041</v>
      </c>
      <c r="B233" s="25" t="s">
        <v>738</v>
      </c>
      <c r="C233" s="25" t="s">
        <v>822</v>
      </c>
      <c r="D233" s="25" t="s">
        <v>823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836.6</f>
        <v>836.6</v>
      </c>
      <c r="L233" s="32" t="s">
        <v>904</v>
      </c>
      <c r="M233" s="31">
        <f>869.9</f>
        <v>869.9</v>
      </c>
      <c r="N233" s="32" t="s">
        <v>94</v>
      </c>
      <c r="O233" s="31">
        <f>830</f>
        <v>830</v>
      </c>
      <c r="P233" s="32" t="s">
        <v>811</v>
      </c>
      <c r="Q233" s="31">
        <f>854.2</f>
        <v>854.2</v>
      </c>
      <c r="R233" s="32" t="s">
        <v>934</v>
      </c>
      <c r="S233" s="33">
        <f>845.68</f>
        <v>845.68</v>
      </c>
      <c r="T233" s="30">
        <f>506410</f>
        <v>506410</v>
      </c>
      <c r="U233" s="30">
        <f>263500</f>
        <v>263500</v>
      </c>
      <c r="V233" s="30">
        <f>428277893</f>
        <v>428277893</v>
      </c>
      <c r="W233" s="30">
        <f>222949942</f>
        <v>222949942</v>
      </c>
      <c r="X233" s="34">
        <f>20</f>
        <v>20</v>
      </c>
    </row>
    <row r="234" spans="1:24" x14ac:dyDescent="0.15">
      <c r="A234" s="25" t="s">
        <v>1041</v>
      </c>
      <c r="B234" s="25" t="s">
        <v>739</v>
      </c>
      <c r="C234" s="25" t="s">
        <v>740</v>
      </c>
      <c r="D234" s="25" t="s">
        <v>741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2026</f>
        <v>2026</v>
      </c>
      <c r="L234" s="32" t="s">
        <v>904</v>
      </c>
      <c r="M234" s="31">
        <f>2036</f>
        <v>2036</v>
      </c>
      <c r="N234" s="32" t="s">
        <v>904</v>
      </c>
      <c r="O234" s="31">
        <f>1980</f>
        <v>1980</v>
      </c>
      <c r="P234" s="32" t="s">
        <v>70</v>
      </c>
      <c r="Q234" s="31">
        <f>2012.5</f>
        <v>2012.5</v>
      </c>
      <c r="R234" s="32" t="s">
        <v>934</v>
      </c>
      <c r="S234" s="33">
        <f>2004.03</f>
        <v>2004.03</v>
      </c>
      <c r="T234" s="30">
        <f>7050</f>
        <v>7050</v>
      </c>
      <c r="U234" s="30">
        <f>10</f>
        <v>10</v>
      </c>
      <c r="V234" s="30">
        <f>14131515</f>
        <v>14131515</v>
      </c>
      <c r="W234" s="30">
        <f>20115</f>
        <v>20115</v>
      </c>
      <c r="X234" s="34">
        <f>19</f>
        <v>19</v>
      </c>
    </row>
    <row r="235" spans="1:24" x14ac:dyDescent="0.15">
      <c r="A235" s="25" t="s">
        <v>1041</v>
      </c>
      <c r="B235" s="25" t="s">
        <v>742</v>
      </c>
      <c r="C235" s="25" t="s">
        <v>743</v>
      </c>
      <c r="D235" s="25" t="s">
        <v>744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2018</f>
        <v>2018</v>
      </c>
      <c r="L235" s="32" t="s">
        <v>904</v>
      </c>
      <c r="M235" s="31">
        <f>2037</f>
        <v>2037</v>
      </c>
      <c r="N235" s="32" t="s">
        <v>909</v>
      </c>
      <c r="O235" s="31">
        <f>1968</f>
        <v>1968</v>
      </c>
      <c r="P235" s="32" t="s">
        <v>70</v>
      </c>
      <c r="Q235" s="31">
        <f>2009.5</f>
        <v>2009.5</v>
      </c>
      <c r="R235" s="32" t="s">
        <v>934</v>
      </c>
      <c r="S235" s="33">
        <f>1997.38</f>
        <v>1997.38</v>
      </c>
      <c r="T235" s="30">
        <f>323310</f>
        <v>323310</v>
      </c>
      <c r="U235" s="30">
        <f>261000</f>
        <v>261000</v>
      </c>
      <c r="V235" s="30">
        <f>642756505</f>
        <v>642756505</v>
      </c>
      <c r="W235" s="30">
        <f>518258040</f>
        <v>518258040</v>
      </c>
      <c r="X235" s="34">
        <f>20</f>
        <v>20</v>
      </c>
    </row>
    <row r="236" spans="1:24" x14ac:dyDescent="0.15">
      <c r="A236" s="25" t="s">
        <v>1041</v>
      </c>
      <c r="B236" s="25" t="s">
        <v>745</v>
      </c>
      <c r="C236" s="25" t="s">
        <v>746</v>
      </c>
      <c r="D236" s="25" t="s">
        <v>747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1927</f>
        <v>1927</v>
      </c>
      <c r="L236" s="32" t="s">
        <v>811</v>
      </c>
      <c r="M236" s="31">
        <f>2035.5</f>
        <v>2035.5</v>
      </c>
      <c r="N236" s="32" t="s">
        <v>820</v>
      </c>
      <c r="O236" s="31">
        <f>1927</f>
        <v>1927</v>
      </c>
      <c r="P236" s="32" t="s">
        <v>811</v>
      </c>
      <c r="Q236" s="31">
        <f>2035</f>
        <v>2035</v>
      </c>
      <c r="R236" s="32" t="s">
        <v>820</v>
      </c>
      <c r="S236" s="33">
        <f>1974.36</f>
        <v>1974.36</v>
      </c>
      <c r="T236" s="30">
        <f>255710</f>
        <v>255710</v>
      </c>
      <c r="U236" s="30">
        <f>255150</f>
        <v>255150</v>
      </c>
      <c r="V236" s="30">
        <f>506825632</f>
        <v>506825632</v>
      </c>
      <c r="W236" s="30">
        <f>505717897</f>
        <v>505717897</v>
      </c>
      <c r="X236" s="34">
        <f>7</f>
        <v>7</v>
      </c>
    </row>
    <row r="237" spans="1:24" x14ac:dyDescent="0.15">
      <c r="A237" s="25" t="s">
        <v>1041</v>
      </c>
      <c r="B237" s="25" t="s">
        <v>748</v>
      </c>
      <c r="C237" s="25" t="s">
        <v>749</v>
      </c>
      <c r="D237" s="25" t="s">
        <v>750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16630</f>
        <v>16630</v>
      </c>
      <c r="L237" s="32" t="s">
        <v>904</v>
      </c>
      <c r="M237" s="31">
        <f>16650</f>
        <v>16650</v>
      </c>
      <c r="N237" s="32" t="s">
        <v>904</v>
      </c>
      <c r="O237" s="31">
        <f>15805</f>
        <v>15805</v>
      </c>
      <c r="P237" s="32" t="s">
        <v>905</v>
      </c>
      <c r="Q237" s="31">
        <f>15835</f>
        <v>15835</v>
      </c>
      <c r="R237" s="32" t="s">
        <v>934</v>
      </c>
      <c r="S237" s="33">
        <f>16075.5</f>
        <v>16075.5</v>
      </c>
      <c r="T237" s="30">
        <f>1233806</f>
        <v>1233806</v>
      </c>
      <c r="U237" s="30">
        <f>220041</f>
        <v>220041</v>
      </c>
      <c r="V237" s="30">
        <f>19863454939</f>
        <v>19863454939</v>
      </c>
      <c r="W237" s="30">
        <f>3550068534</f>
        <v>3550068534</v>
      </c>
      <c r="X237" s="34">
        <f>20</f>
        <v>20</v>
      </c>
    </row>
    <row r="238" spans="1:24" x14ac:dyDescent="0.15">
      <c r="A238" s="25" t="s">
        <v>1041</v>
      </c>
      <c r="B238" s="25" t="s">
        <v>751</v>
      </c>
      <c r="C238" s="25" t="s">
        <v>752</v>
      </c>
      <c r="D238" s="25" t="s">
        <v>753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14365</f>
        <v>14365</v>
      </c>
      <c r="L238" s="32" t="s">
        <v>904</v>
      </c>
      <c r="M238" s="31">
        <f>15000</f>
        <v>15000</v>
      </c>
      <c r="N238" s="32" t="s">
        <v>820</v>
      </c>
      <c r="O238" s="31">
        <f>14025</f>
        <v>14025</v>
      </c>
      <c r="P238" s="32" t="s">
        <v>811</v>
      </c>
      <c r="Q238" s="31">
        <f>14265</f>
        <v>14265</v>
      </c>
      <c r="R238" s="32" t="s">
        <v>934</v>
      </c>
      <c r="S238" s="33">
        <f>14332.75</f>
        <v>14332.75</v>
      </c>
      <c r="T238" s="30">
        <f>183548</f>
        <v>183548</v>
      </c>
      <c r="U238" s="30">
        <f>35000</f>
        <v>35000</v>
      </c>
      <c r="V238" s="30">
        <f>2625275845</f>
        <v>2625275845</v>
      </c>
      <c r="W238" s="30">
        <f>496618225</f>
        <v>496618225</v>
      </c>
      <c r="X238" s="34">
        <f>20</f>
        <v>20</v>
      </c>
    </row>
    <row r="239" spans="1:24" x14ac:dyDescent="0.15">
      <c r="A239" s="25" t="s">
        <v>1041</v>
      </c>
      <c r="B239" s="25" t="s">
        <v>754</v>
      </c>
      <c r="C239" s="25" t="s">
        <v>755</v>
      </c>
      <c r="D239" s="25" t="s">
        <v>756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26120</f>
        <v>26120</v>
      </c>
      <c r="L239" s="32" t="s">
        <v>904</v>
      </c>
      <c r="M239" s="31">
        <f>26870</f>
        <v>26870</v>
      </c>
      <c r="N239" s="32" t="s">
        <v>820</v>
      </c>
      <c r="O239" s="31">
        <f>25775</f>
        <v>25775</v>
      </c>
      <c r="P239" s="32" t="s">
        <v>811</v>
      </c>
      <c r="Q239" s="31">
        <f>26870</f>
        <v>26870</v>
      </c>
      <c r="R239" s="32" t="s">
        <v>820</v>
      </c>
      <c r="S239" s="33">
        <f>26204.38</f>
        <v>26204.38</v>
      </c>
      <c r="T239" s="30">
        <f>21</f>
        <v>21</v>
      </c>
      <c r="U239" s="30" t="str">
        <f>"－"</f>
        <v>－</v>
      </c>
      <c r="V239" s="30">
        <f>555390</f>
        <v>555390</v>
      </c>
      <c r="W239" s="30" t="str">
        <f>"－"</f>
        <v>－</v>
      </c>
      <c r="X239" s="34">
        <f>8</f>
        <v>8</v>
      </c>
    </row>
    <row r="240" spans="1:24" x14ac:dyDescent="0.15">
      <c r="A240" s="25" t="s">
        <v>1041</v>
      </c>
      <c r="B240" s="25" t="s">
        <v>757</v>
      </c>
      <c r="C240" s="25" t="s">
        <v>758</v>
      </c>
      <c r="D240" s="25" t="s">
        <v>759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2524</f>
        <v>2524</v>
      </c>
      <c r="L240" s="32" t="s">
        <v>904</v>
      </c>
      <c r="M240" s="31">
        <f>2549</f>
        <v>2549</v>
      </c>
      <c r="N240" s="32" t="s">
        <v>915</v>
      </c>
      <c r="O240" s="31">
        <f>2505</f>
        <v>2505</v>
      </c>
      <c r="P240" s="32" t="s">
        <v>811</v>
      </c>
      <c r="Q240" s="31">
        <f>2515</f>
        <v>2515</v>
      </c>
      <c r="R240" s="32" t="s">
        <v>934</v>
      </c>
      <c r="S240" s="33">
        <f>2524.2</f>
        <v>2524.1999999999998</v>
      </c>
      <c r="T240" s="30">
        <f>92871</f>
        <v>92871</v>
      </c>
      <c r="U240" s="30">
        <f>11357</f>
        <v>11357</v>
      </c>
      <c r="V240" s="30">
        <f>234833543</f>
        <v>234833543</v>
      </c>
      <c r="W240" s="30">
        <f>28654960</f>
        <v>28654960</v>
      </c>
      <c r="X240" s="34">
        <f>20</f>
        <v>20</v>
      </c>
    </row>
    <row r="241" spans="1:24" x14ac:dyDescent="0.15">
      <c r="A241" s="25" t="s">
        <v>1041</v>
      </c>
      <c r="B241" s="25" t="s">
        <v>760</v>
      </c>
      <c r="C241" s="25" t="s">
        <v>761</v>
      </c>
      <c r="D241" s="25" t="s">
        <v>762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2775</f>
        <v>2775</v>
      </c>
      <c r="L241" s="32" t="s">
        <v>904</v>
      </c>
      <c r="M241" s="31">
        <f>2893.5</f>
        <v>2893.5</v>
      </c>
      <c r="N241" s="32" t="s">
        <v>820</v>
      </c>
      <c r="O241" s="31">
        <f>2703.5</f>
        <v>2703.5</v>
      </c>
      <c r="P241" s="32" t="s">
        <v>811</v>
      </c>
      <c r="Q241" s="31">
        <f>2856.5</f>
        <v>2856.5</v>
      </c>
      <c r="R241" s="32" t="s">
        <v>934</v>
      </c>
      <c r="S241" s="33">
        <f>2823.78</f>
        <v>2823.78</v>
      </c>
      <c r="T241" s="30">
        <f>1805600</f>
        <v>1805600</v>
      </c>
      <c r="U241" s="30">
        <f>1089800</f>
        <v>1089800</v>
      </c>
      <c r="V241" s="30">
        <f>5098794481</f>
        <v>5098794481</v>
      </c>
      <c r="W241" s="30">
        <f>3085493281</f>
        <v>3085493281</v>
      </c>
      <c r="X241" s="34">
        <f>20</f>
        <v>20</v>
      </c>
    </row>
    <row r="242" spans="1:24" x14ac:dyDescent="0.15">
      <c r="A242" s="25" t="s">
        <v>1041</v>
      </c>
      <c r="B242" s="25" t="s">
        <v>763</v>
      </c>
      <c r="C242" s="25" t="s">
        <v>764</v>
      </c>
      <c r="D242" s="25" t="s">
        <v>765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245.5</f>
        <v>245.5</v>
      </c>
      <c r="L242" s="32" t="s">
        <v>904</v>
      </c>
      <c r="M242" s="31">
        <f>254.8</f>
        <v>254.8</v>
      </c>
      <c r="N242" s="32" t="s">
        <v>820</v>
      </c>
      <c r="O242" s="31">
        <f>235.1</f>
        <v>235.1</v>
      </c>
      <c r="P242" s="32" t="s">
        <v>811</v>
      </c>
      <c r="Q242" s="31">
        <f>250.1</f>
        <v>250.1</v>
      </c>
      <c r="R242" s="32" t="s">
        <v>934</v>
      </c>
      <c r="S242" s="33">
        <f>247.83</f>
        <v>247.83</v>
      </c>
      <c r="T242" s="30">
        <f>106338480</f>
        <v>106338480</v>
      </c>
      <c r="U242" s="30">
        <f>37423620</f>
        <v>37423620</v>
      </c>
      <c r="V242" s="30">
        <f>26387987879</f>
        <v>26387987879</v>
      </c>
      <c r="W242" s="30">
        <f>9341844737</f>
        <v>9341844737</v>
      </c>
      <c r="X242" s="34">
        <f>20</f>
        <v>20</v>
      </c>
    </row>
    <row r="243" spans="1:24" x14ac:dyDescent="0.15">
      <c r="A243" s="25" t="s">
        <v>1041</v>
      </c>
      <c r="B243" s="25" t="s">
        <v>766</v>
      </c>
      <c r="C243" s="25" t="s">
        <v>767</v>
      </c>
      <c r="D243" s="25" t="s">
        <v>768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1950</f>
        <v>1950</v>
      </c>
      <c r="L243" s="32" t="s">
        <v>904</v>
      </c>
      <c r="M243" s="31">
        <f>2050</f>
        <v>2050</v>
      </c>
      <c r="N243" s="32" t="s">
        <v>94</v>
      </c>
      <c r="O243" s="31">
        <f>1930</f>
        <v>1930</v>
      </c>
      <c r="P243" s="32" t="s">
        <v>904</v>
      </c>
      <c r="Q243" s="31">
        <f>2012</f>
        <v>2012</v>
      </c>
      <c r="R243" s="32" t="s">
        <v>934</v>
      </c>
      <c r="S243" s="33">
        <f>1992.6</f>
        <v>1992.6</v>
      </c>
      <c r="T243" s="30">
        <f>93730</f>
        <v>93730</v>
      </c>
      <c r="U243" s="30">
        <f>4000</f>
        <v>4000</v>
      </c>
      <c r="V243" s="30">
        <f>186109410</f>
        <v>186109410</v>
      </c>
      <c r="W243" s="30">
        <f>7936800</f>
        <v>7936800</v>
      </c>
      <c r="X243" s="34">
        <f>20</f>
        <v>20</v>
      </c>
    </row>
    <row r="244" spans="1:24" x14ac:dyDescent="0.15">
      <c r="A244" s="25" t="s">
        <v>1041</v>
      </c>
      <c r="B244" s="25" t="s">
        <v>769</v>
      </c>
      <c r="C244" s="25" t="s">
        <v>770</v>
      </c>
      <c r="D244" s="25" t="s">
        <v>771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1037</f>
        <v>1037</v>
      </c>
      <c r="L244" s="32" t="s">
        <v>904</v>
      </c>
      <c r="M244" s="31">
        <f>1081</f>
        <v>1081</v>
      </c>
      <c r="N244" s="32" t="s">
        <v>936</v>
      </c>
      <c r="O244" s="31">
        <f>1025</f>
        <v>1025</v>
      </c>
      <c r="P244" s="32" t="s">
        <v>70</v>
      </c>
      <c r="Q244" s="31">
        <f>1063</f>
        <v>1063</v>
      </c>
      <c r="R244" s="32" t="s">
        <v>934</v>
      </c>
      <c r="S244" s="33">
        <f>1055.55</f>
        <v>1055.55</v>
      </c>
      <c r="T244" s="30">
        <f>44965</f>
        <v>44965</v>
      </c>
      <c r="U244" s="30">
        <f>4</f>
        <v>4</v>
      </c>
      <c r="V244" s="30">
        <f>47335716</f>
        <v>47335716</v>
      </c>
      <c r="W244" s="30">
        <f>4223</f>
        <v>4223</v>
      </c>
      <c r="X244" s="34">
        <f>20</f>
        <v>20</v>
      </c>
    </row>
    <row r="245" spans="1:24" x14ac:dyDescent="0.15">
      <c r="A245" s="25" t="s">
        <v>1041</v>
      </c>
      <c r="B245" s="25" t="s">
        <v>772</v>
      </c>
      <c r="C245" s="25" t="s">
        <v>773</v>
      </c>
      <c r="D245" s="25" t="s">
        <v>774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1113.5</f>
        <v>1113.5</v>
      </c>
      <c r="L245" s="32" t="s">
        <v>904</v>
      </c>
      <c r="M245" s="31">
        <f>1138</f>
        <v>1138</v>
      </c>
      <c r="N245" s="32" t="s">
        <v>695</v>
      </c>
      <c r="O245" s="31">
        <f>1081</f>
        <v>1081</v>
      </c>
      <c r="P245" s="32" t="s">
        <v>814</v>
      </c>
      <c r="Q245" s="31">
        <f>1107.5</f>
        <v>1107.5</v>
      </c>
      <c r="R245" s="32" t="s">
        <v>934</v>
      </c>
      <c r="S245" s="33">
        <f>1102.4</f>
        <v>1102.4000000000001</v>
      </c>
      <c r="T245" s="30">
        <f>185910</f>
        <v>185910</v>
      </c>
      <c r="U245" s="30">
        <f>180200</f>
        <v>180200</v>
      </c>
      <c r="V245" s="30">
        <f>205959792</f>
        <v>205959792</v>
      </c>
      <c r="W245" s="30">
        <f>199659417</f>
        <v>199659417</v>
      </c>
      <c r="X245" s="34">
        <f>20</f>
        <v>20</v>
      </c>
    </row>
    <row r="246" spans="1:24" x14ac:dyDescent="0.15">
      <c r="A246" s="25" t="s">
        <v>1041</v>
      </c>
      <c r="B246" s="25" t="s">
        <v>775</v>
      </c>
      <c r="C246" s="25" t="s">
        <v>776</v>
      </c>
      <c r="D246" s="25" t="s">
        <v>777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243.8</f>
        <v>243.8</v>
      </c>
      <c r="L246" s="32" t="s">
        <v>904</v>
      </c>
      <c r="M246" s="31">
        <f>254.5</f>
        <v>254.5</v>
      </c>
      <c r="N246" s="32" t="s">
        <v>915</v>
      </c>
      <c r="O246" s="31">
        <f>241.6</f>
        <v>241.6</v>
      </c>
      <c r="P246" s="32" t="s">
        <v>915</v>
      </c>
      <c r="Q246" s="31">
        <f>253.9</f>
        <v>253.9</v>
      </c>
      <c r="R246" s="32" t="s">
        <v>934</v>
      </c>
      <c r="S246" s="33">
        <f>249.57</f>
        <v>249.57</v>
      </c>
      <c r="T246" s="30">
        <f>6070</f>
        <v>6070</v>
      </c>
      <c r="U246" s="30" t="str">
        <f>"－"</f>
        <v>－</v>
      </c>
      <c r="V246" s="30">
        <f>1507269</f>
        <v>1507269</v>
      </c>
      <c r="W246" s="30" t="str">
        <f>"－"</f>
        <v>－</v>
      </c>
      <c r="X246" s="34">
        <f>18</f>
        <v>18</v>
      </c>
    </row>
    <row r="247" spans="1:24" x14ac:dyDescent="0.15">
      <c r="A247" s="25" t="s">
        <v>1041</v>
      </c>
      <c r="B247" s="25" t="s">
        <v>778</v>
      </c>
      <c r="C247" s="25" t="s">
        <v>779</v>
      </c>
      <c r="D247" s="25" t="s">
        <v>780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2928</f>
        <v>2928</v>
      </c>
      <c r="L247" s="32" t="s">
        <v>904</v>
      </c>
      <c r="M247" s="31">
        <f>2935</f>
        <v>2935</v>
      </c>
      <c r="N247" s="32" t="s">
        <v>904</v>
      </c>
      <c r="O247" s="31">
        <f>2722</f>
        <v>2722</v>
      </c>
      <c r="P247" s="32" t="s">
        <v>70</v>
      </c>
      <c r="Q247" s="31">
        <f>2750</f>
        <v>2750</v>
      </c>
      <c r="R247" s="32" t="s">
        <v>934</v>
      </c>
      <c r="S247" s="33">
        <f>2812.63</f>
        <v>2812.63</v>
      </c>
      <c r="T247" s="30">
        <f>903020</f>
        <v>903020</v>
      </c>
      <c r="U247" s="30" t="str">
        <f>"－"</f>
        <v>－</v>
      </c>
      <c r="V247" s="30">
        <f>2517419505</f>
        <v>2517419505</v>
      </c>
      <c r="W247" s="30" t="str">
        <f>"－"</f>
        <v>－</v>
      </c>
      <c r="X247" s="34">
        <f>20</f>
        <v>20</v>
      </c>
    </row>
    <row r="248" spans="1:24" x14ac:dyDescent="0.15">
      <c r="A248" s="25" t="s">
        <v>1041</v>
      </c>
      <c r="B248" s="25" t="s">
        <v>781</v>
      </c>
      <c r="C248" s="25" t="s">
        <v>782</v>
      </c>
      <c r="D248" s="25" t="s">
        <v>783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1993</f>
        <v>1993</v>
      </c>
      <c r="L248" s="32" t="s">
        <v>904</v>
      </c>
      <c r="M248" s="31">
        <f>2066.5</f>
        <v>2066.5</v>
      </c>
      <c r="N248" s="32" t="s">
        <v>906</v>
      </c>
      <c r="O248" s="31">
        <f>1863</f>
        <v>1863</v>
      </c>
      <c r="P248" s="32" t="s">
        <v>811</v>
      </c>
      <c r="Q248" s="31">
        <f>2000</f>
        <v>2000</v>
      </c>
      <c r="R248" s="32" t="s">
        <v>934</v>
      </c>
      <c r="S248" s="33">
        <f>1996.68</f>
        <v>1996.68</v>
      </c>
      <c r="T248" s="30">
        <f>8219240</f>
        <v>8219240</v>
      </c>
      <c r="U248" s="30">
        <f>3187800</f>
        <v>3187800</v>
      </c>
      <c r="V248" s="30">
        <f>16472348580</f>
        <v>16472348580</v>
      </c>
      <c r="W248" s="30">
        <f>6472118080</f>
        <v>6472118080</v>
      </c>
      <c r="X248" s="34">
        <f>20</f>
        <v>20</v>
      </c>
    </row>
    <row r="249" spans="1:24" x14ac:dyDescent="0.15">
      <c r="A249" s="25" t="s">
        <v>1041</v>
      </c>
      <c r="B249" s="25" t="s">
        <v>784</v>
      </c>
      <c r="C249" s="25" t="s">
        <v>785</v>
      </c>
      <c r="D249" s="25" t="s">
        <v>786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327.1</f>
        <v>327.10000000000002</v>
      </c>
      <c r="L249" s="32" t="s">
        <v>904</v>
      </c>
      <c r="M249" s="31">
        <f>327.7</f>
        <v>327.7</v>
      </c>
      <c r="N249" s="32" t="s">
        <v>904</v>
      </c>
      <c r="O249" s="31">
        <f>306</f>
        <v>306</v>
      </c>
      <c r="P249" s="32" t="s">
        <v>94</v>
      </c>
      <c r="Q249" s="31">
        <f>306</f>
        <v>306</v>
      </c>
      <c r="R249" s="32" t="s">
        <v>934</v>
      </c>
      <c r="S249" s="33">
        <f>313.92</f>
        <v>313.92</v>
      </c>
      <c r="T249" s="30">
        <f>66723280</f>
        <v>66723280</v>
      </c>
      <c r="U249" s="30">
        <f>63908000</f>
        <v>63908000</v>
      </c>
      <c r="V249" s="30">
        <f>20866817056</f>
        <v>20866817056</v>
      </c>
      <c r="W249" s="30">
        <f>19979192680</f>
        <v>19979192680</v>
      </c>
      <c r="X249" s="34">
        <f>20</f>
        <v>20</v>
      </c>
    </row>
    <row r="250" spans="1:24" x14ac:dyDescent="0.15">
      <c r="A250" s="25" t="s">
        <v>1041</v>
      </c>
      <c r="B250" s="25" t="s">
        <v>787</v>
      </c>
      <c r="C250" s="25" t="s">
        <v>788</v>
      </c>
      <c r="D250" s="25" t="s">
        <v>789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1405</f>
        <v>1405</v>
      </c>
      <c r="L250" s="32" t="s">
        <v>904</v>
      </c>
      <c r="M250" s="31">
        <f>1529</f>
        <v>1529</v>
      </c>
      <c r="N250" s="32" t="s">
        <v>94</v>
      </c>
      <c r="O250" s="31">
        <f>1362</f>
        <v>1362</v>
      </c>
      <c r="P250" s="32" t="s">
        <v>912</v>
      </c>
      <c r="Q250" s="31">
        <f>1485</f>
        <v>1485</v>
      </c>
      <c r="R250" s="32" t="s">
        <v>934</v>
      </c>
      <c r="S250" s="33">
        <f>1441.3</f>
        <v>1441.3</v>
      </c>
      <c r="T250" s="30">
        <f>4776028</f>
        <v>4776028</v>
      </c>
      <c r="U250" s="30">
        <f>489</f>
        <v>489</v>
      </c>
      <c r="V250" s="30">
        <f>6949705576</f>
        <v>6949705576</v>
      </c>
      <c r="W250" s="30">
        <f>713374</f>
        <v>713374</v>
      </c>
      <c r="X250" s="34">
        <f>20</f>
        <v>20</v>
      </c>
    </row>
    <row r="251" spans="1:24" x14ac:dyDescent="0.15">
      <c r="A251" s="25" t="s">
        <v>1041</v>
      </c>
      <c r="B251" s="25" t="s">
        <v>790</v>
      </c>
      <c r="C251" s="25" t="s">
        <v>791</v>
      </c>
      <c r="D251" s="25" t="s">
        <v>792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1740</f>
        <v>1740</v>
      </c>
      <c r="L251" s="32" t="s">
        <v>904</v>
      </c>
      <c r="M251" s="31">
        <f>2093</f>
        <v>2093</v>
      </c>
      <c r="N251" s="32" t="s">
        <v>94</v>
      </c>
      <c r="O251" s="31">
        <f>1707</f>
        <v>1707</v>
      </c>
      <c r="P251" s="32" t="s">
        <v>904</v>
      </c>
      <c r="Q251" s="31">
        <f>1852</f>
        <v>1852</v>
      </c>
      <c r="R251" s="32" t="s">
        <v>934</v>
      </c>
      <c r="S251" s="33">
        <f>1801.65</f>
        <v>1801.65</v>
      </c>
      <c r="T251" s="30">
        <f>34335</f>
        <v>34335</v>
      </c>
      <c r="U251" s="30">
        <f>379</f>
        <v>379</v>
      </c>
      <c r="V251" s="30">
        <f>63766511</f>
        <v>63766511</v>
      </c>
      <c r="W251" s="30">
        <f>700368</f>
        <v>700368</v>
      </c>
      <c r="X251" s="34">
        <f>20</f>
        <v>20</v>
      </c>
    </row>
    <row r="252" spans="1:24" x14ac:dyDescent="0.15">
      <c r="A252" s="25" t="s">
        <v>1041</v>
      </c>
      <c r="B252" s="25" t="s">
        <v>793</v>
      </c>
      <c r="C252" s="25" t="s">
        <v>794</v>
      </c>
      <c r="D252" s="25" t="s">
        <v>795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2103</f>
        <v>2103</v>
      </c>
      <c r="L252" s="32" t="s">
        <v>909</v>
      </c>
      <c r="M252" s="31">
        <f>2190</f>
        <v>2190</v>
      </c>
      <c r="N252" s="32" t="s">
        <v>815</v>
      </c>
      <c r="O252" s="31">
        <f>2093</f>
        <v>2093</v>
      </c>
      <c r="P252" s="32" t="s">
        <v>911</v>
      </c>
      <c r="Q252" s="31">
        <f>2165</f>
        <v>2165</v>
      </c>
      <c r="R252" s="32" t="s">
        <v>934</v>
      </c>
      <c r="S252" s="33">
        <f>2132.76</f>
        <v>2132.7600000000002</v>
      </c>
      <c r="T252" s="30">
        <f>4744</f>
        <v>4744</v>
      </c>
      <c r="U252" s="30" t="str">
        <f>"－"</f>
        <v>－</v>
      </c>
      <c r="V252" s="30">
        <f>9969018</f>
        <v>9969018</v>
      </c>
      <c r="W252" s="30" t="str">
        <f>"－"</f>
        <v>－</v>
      </c>
      <c r="X252" s="34">
        <f>17</f>
        <v>17</v>
      </c>
    </row>
    <row r="253" spans="1:24" x14ac:dyDescent="0.15">
      <c r="A253" s="25" t="s">
        <v>1041</v>
      </c>
      <c r="B253" s="25" t="s">
        <v>796</v>
      </c>
      <c r="C253" s="25" t="s">
        <v>797</v>
      </c>
      <c r="D253" s="25" t="s">
        <v>798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2772</f>
        <v>2772</v>
      </c>
      <c r="L253" s="32" t="s">
        <v>904</v>
      </c>
      <c r="M253" s="31">
        <f>2860</f>
        <v>2860</v>
      </c>
      <c r="N253" s="32" t="s">
        <v>820</v>
      </c>
      <c r="O253" s="31">
        <f>2713</f>
        <v>2713</v>
      </c>
      <c r="P253" s="32" t="s">
        <v>811</v>
      </c>
      <c r="Q253" s="31">
        <f>2806</f>
        <v>2806</v>
      </c>
      <c r="R253" s="32" t="s">
        <v>934</v>
      </c>
      <c r="S253" s="33">
        <f>2801</f>
        <v>2801</v>
      </c>
      <c r="T253" s="30">
        <f>313375</f>
        <v>313375</v>
      </c>
      <c r="U253" s="30">
        <f>220000</f>
        <v>220000</v>
      </c>
      <c r="V253" s="30">
        <f>879227151</f>
        <v>879227151</v>
      </c>
      <c r="W253" s="30">
        <f>617333000</f>
        <v>617333000</v>
      </c>
      <c r="X253" s="34">
        <f>20</f>
        <v>20</v>
      </c>
    </row>
    <row r="254" spans="1:24" x14ac:dyDescent="0.15">
      <c r="A254" s="25" t="s">
        <v>1041</v>
      </c>
      <c r="B254" s="25" t="s">
        <v>799</v>
      </c>
      <c r="C254" s="25" t="s">
        <v>800</v>
      </c>
      <c r="D254" s="25" t="s">
        <v>801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1937</f>
        <v>1937</v>
      </c>
      <c r="L254" s="32" t="s">
        <v>904</v>
      </c>
      <c r="M254" s="31">
        <f>2028</f>
        <v>2028</v>
      </c>
      <c r="N254" s="32" t="s">
        <v>820</v>
      </c>
      <c r="O254" s="31">
        <f>1911</f>
        <v>1911</v>
      </c>
      <c r="P254" s="32" t="s">
        <v>811</v>
      </c>
      <c r="Q254" s="31">
        <f>1989</f>
        <v>1989</v>
      </c>
      <c r="R254" s="32" t="s">
        <v>934</v>
      </c>
      <c r="S254" s="33">
        <f>1971.7</f>
        <v>1971.7</v>
      </c>
      <c r="T254" s="30">
        <f>199358</f>
        <v>199358</v>
      </c>
      <c r="U254" s="30" t="str">
        <f>"－"</f>
        <v>－</v>
      </c>
      <c r="V254" s="30">
        <f>391655785</f>
        <v>391655785</v>
      </c>
      <c r="W254" s="30" t="str">
        <f>"－"</f>
        <v>－</v>
      </c>
      <c r="X254" s="34">
        <f>20</f>
        <v>20</v>
      </c>
    </row>
    <row r="255" spans="1:24" x14ac:dyDescent="0.15">
      <c r="A255" s="25" t="s">
        <v>1041</v>
      </c>
      <c r="B255" s="25" t="s">
        <v>802</v>
      </c>
      <c r="C255" s="25" t="s">
        <v>803</v>
      </c>
      <c r="D255" s="25" t="s">
        <v>804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1899</f>
        <v>1899</v>
      </c>
      <c r="L255" s="32" t="s">
        <v>904</v>
      </c>
      <c r="M255" s="31">
        <f>1946</f>
        <v>1946</v>
      </c>
      <c r="N255" s="32" t="s">
        <v>820</v>
      </c>
      <c r="O255" s="31">
        <f>1841</f>
        <v>1841</v>
      </c>
      <c r="P255" s="32" t="s">
        <v>811</v>
      </c>
      <c r="Q255" s="31">
        <f>1898</f>
        <v>1898</v>
      </c>
      <c r="R255" s="32" t="s">
        <v>934</v>
      </c>
      <c r="S255" s="33">
        <f>1902.6</f>
        <v>1902.6</v>
      </c>
      <c r="T255" s="30">
        <f>19434</f>
        <v>19434</v>
      </c>
      <c r="U255" s="30" t="str">
        <f>"－"</f>
        <v>－</v>
      </c>
      <c r="V255" s="30">
        <f>36790953</f>
        <v>36790953</v>
      </c>
      <c r="W255" s="30" t="str">
        <f>"－"</f>
        <v>－</v>
      </c>
      <c r="X255" s="34">
        <f>20</f>
        <v>20</v>
      </c>
    </row>
    <row r="256" spans="1:24" x14ac:dyDescent="0.15">
      <c r="A256" s="25" t="s">
        <v>1041</v>
      </c>
      <c r="B256" s="25" t="s">
        <v>805</v>
      </c>
      <c r="C256" s="25" t="s">
        <v>806</v>
      </c>
      <c r="D256" s="25" t="s">
        <v>807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1506</f>
        <v>1506</v>
      </c>
      <c r="L256" s="32" t="s">
        <v>904</v>
      </c>
      <c r="M256" s="31">
        <f>1585</f>
        <v>1585</v>
      </c>
      <c r="N256" s="32" t="s">
        <v>906</v>
      </c>
      <c r="O256" s="31">
        <f>1435</f>
        <v>1435</v>
      </c>
      <c r="P256" s="32" t="s">
        <v>70</v>
      </c>
      <c r="Q256" s="31">
        <f>1531</f>
        <v>1531</v>
      </c>
      <c r="R256" s="32" t="s">
        <v>934</v>
      </c>
      <c r="S256" s="33">
        <f>1522.95</f>
        <v>1522.95</v>
      </c>
      <c r="T256" s="30">
        <f>12837</f>
        <v>12837</v>
      </c>
      <c r="U256" s="30" t="str">
        <f>"－"</f>
        <v>－</v>
      </c>
      <c r="V256" s="30">
        <f>19981867</f>
        <v>19981867</v>
      </c>
      <c r="W256" s="30" t="str">
        <f>"－"</f>
        <v>－</v>
      </c>
      <c r="X256" s="34">
        <f>20</f>
        <v>20</v>
      </c>
    </row>
    <row r="257" spans="1:24" x14ac:dyDescent="0.15">
      <c r="A257" s="25" t="s">
        <v>1041</v>
      </c>
      <c r="B257" s="25" t="s">
        <v>824</v>
      </c>
      <c r="C257" s="25" t="s">
        <v>825</v>
      </c>
      <c r="D257" s="25" t="s">
        <v>826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2101</f>
        <v>2101</v>
      </c>
      <c r="L257" s="32" t="s">
        <v>904</v>
      </c>
      <c r="M257" s="31">
        <f>2278</f>
        <v>2278</v>
      </c>
      <c r="N257" s="32" t="s">
        <v>70</v>
      </c>
      <c r="O257" s="31">
        <f>1895</f>
        <v>1895</v>
      </c>
      <c r="P257" s="32" t="s">
        <v>94</v>
      </c>
      <c r="Q257" s="31">
        <f>1975</f>
        <v>1975</v>
      </c>
      <c r="R257" s="32" t="s">
        <v>934</v>
      </c>
      <c r="S257" s="33">
        <f>2082.15</f>
        <v>2082.15</v>
      </c>
      <c r="T257" s="30">
        <f>29401</f>
        <v>29401</v>
      </c>
      <c r="U257" s="30" t="str">
        <f>"－"</f>
        <v>－</v>
      </c>
      <c r="V257" s="30">
        <f>61230019</f>
        <v>61230019</v>
      </c>
      <c r="W257" s="30" t="str">
        <f>"－"</f>
        <v>－</v>
      </c>
      <c r="X257" s="34">
        <f>20</f>
        <v>20</v>
      </c>
    </row>
    <row r="258" spans="1:24" x14ac:dyDescent="0.15">
      <c r="A258" s="25" t="s">
        <v>1041</v>
      </c>
      <c r="B258" s="25" t="s">
        <v>827</v>
      </c>
      <c r="C258" s="25" t="s">
        <v>828</v>
      </c>
      <c r="D258" s="25" t="s">
        <v>829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2163</f>
        <v>2163</v>
      </c>
      <c r="L258" s="32" t="s">
        <v>904</v>
      </c>
      <c r="M258" s="31">
        <f>2450</f>
        <v>2450</v>
      </c>
      <c r="N258" s="32" t="s">
        <v>906</v>
      </c>
      <c r="O258" s="31">
        <f>2120</f>
        <v>2120</v>
      </c>
      <c r="P258" s="32" t="s">
        <v>904</v>
      </c>
      <c r="Q258" s="31">
        <f>2340</f>
        <v>2340</v>
      </c>
      <c r="R258" s="32" t="s">
        <v>934</v>
      </c>
      <c r="S258" s="33">
        <f>2311</f>
        <v>2311</v>
      </c>
      <c r="T258" s="30">
        <f>4612</f>
        <v>4612</v>
      </c>
      <c r="U258" s="30" t="str">
        <f>"－"</f>
        <v>－</v>
      </c>
      <c r="V258" s="30">
        <f>10635075</f>
        <v>10635075</v>
      </c>
      <c r="W258" s="30" t="str">
        <f>"－"</f>
        <v>－</v>
      </c>
      <c r="X258" s="34">
        <f>20</f>
        <v>20</v>
      </c>
    </row>
    <row r="259" spans="1:24" x14ac:dyDescent="0.15">
      <c r="A259" s="25" t="s">
        <v>1041</v>
      </c>
      <c r="B259" s="25" t="s">
        <v>830</v>
      </c>
      <c r="C259" s="25" t="s">
        <v>831</v>
      </c>
      <c r="D259" s="25" t="s">
        <v>832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9776</f>
        <v>9776</v>
      </c>
      <c r="L259" s="32" t="s">
        <v>904</v>
      </c>
      <c r="M259" s="31">
        <f>10140</f>
        <v>10140</v>
      </c>
      <c r="N259" s="32" t="s">
        <v>820</v>
      </c>
      <c r="O259" s="31">
        <f>9357</f>
        <v>9357</v>
      </c>
      <c r="P259" s="32" t="s">
        <v>811</v>
      </c>
      <c r="Q259" s="31">
        <f>9946</f>
        <v>9946</v>
      </c>
      <c r="R259" s="32" t="s">
        <v>934</v>
      </c>
      <c r="S259" s="33">
        <f>9859.6</f>
        <v>9859.6</v>
      </c>
      <c r="T259" s="30">
        <f>907818</f>
        <v>907818</v>
      </c>
      <c r="U259" s="30">
        <f>410005</f>
        <v>410005</v>
      </c>
      <c r="V259" s="30">
        <f>8937534430</f>
        <v>8937534430</v>
      </c>
      <c r="W259" s="30">
        <f>4033674746</f>
        <v>4033674746</v>
      </c>
      <c r="X259" s="34">
        <f>20</f>
        <v>20</v>
      </c>
    </row>
    <row r="260" spans="1:24" x14ac:dyDescent="0.15">
      <c r="A260" s="25" t="s">
        <v>1041</v>
      </c>
      <c r="B260" s="25" t="s">
        <v>833</v>
      </c>
      <c r="C260" s="25" t="s">
        <v>834</v>
      </c>
      <c r="D260" s="25" t="s">
        <v>835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12225</f>
        <v>12225</v>
      </c>
      <c r="L260" s="32" t="s">
        <v>904</v>
      </c>
      <c r="M260" s="31">
        <f>12255</f>
        <v>12255</v>
      </c>
      <c r="N260" s="32" t="s">
        <v>904</v>
      </c>
      <c r="O260" s="31">
        <f>11370</f>
        <v>11370</v>
      </c>
      <c r="P260" s="32" t="s">
        <v>70</v>
      </c>
      <c r="Q260" s="31">
        <f>11485</f>
        <v>11485</v>
      </c>
      <c r="R260" s="32" t="s">
        <v>934</v>
      </c>
      <c r="S260" s="33">
        <f>11743.25</f>
        <v>11743.25</v>
      </c>
      <c r="T260" s="30">
        <f>609409</f>
        <v>609409</v>
      </c>
      <c r="U260" s="30" t="str">
        <f>"－"</f>
        <v>－</v>
      </c>
      <c r="V260" s="30">
        <f>7145115565</f>
        <v>7145115565</v>
      </c>
      <c r="W260" s="30" t="str">
        <f>"－"</f>
        <v>－</v>
      </c>
      <c r="X260" s="34">
        <f>20</f>
        <v>20</v>
      </c>
    </row>
    <row r="261" spans="1:24" x14ac:dyDescent="0.15">
      <c r="A261" s="25" t="s">
        <v>1041</v>
      </c>
      <c r="B261" s="25" t="s">
        <v>836</v>
      </c>
      <c r="C261" s="25" t="s">
        <v>837</v>
      </c>
      <c r="D261" s="25" t="s">
        <v>838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8347</f>
        <v>8347</v>
      </c>
      <c r="L261" s="32" t="s">
        <v>904</v>
      </c>
      <c r="M261" s="31">
        <f>8659</f>
        <v>8659</v>
      </c>
      <c r="N261" s="32" t="s">
        <v>906</v>
      </c>
      <c r="O261" s="31">
        <f>7799</f>
        <v>7799</v>
      </c>
      <c r="P261" s="32" t="s">
        <v>811</v>
      </c>
      <c r="Q261" s="31">
        <f>8386</f>
        <v>8386</v>
      </c>
      <c r="R261" s="32" t="s">
        <v>934</v>
      </c>
      <c r="S261" s="33">
        <f>8365.05</f>
        <v>8365.0499999999993</v>
      </c>
      <c r="T261" s="30">
        <f>808923</f>
        <v>808923</v>
      </c>
      <c r="U261" s="30">
        <f>6</f>
        <v>6</v>
      </c>
      <c r="V261" s="30">
        <f>6708883009</f>
        <v>6708883009</v>
      </c>
      <c r="W261" s="30">
        <f>48786</f>
        <v>48786</v>
      </c>
      <c r="X261" s="34">
        <f>20</f>
        <v>20</v>
      </c>
    </row>
    <row r="262" spans="1:24" x14ac:dyDescent="0.15">
      <c r="A262" s="25" t="s">
        <v>1041</v>
      </c>
      <c r="B262" s="25" t="s">
        <v>839</v>
      </c>
      <c r="C262" s="25" t="s">
        <v>840</v>
      </c>
      <c r="D262" s="25" t="s">
        <v>841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2663</f>
        <v>2663</v>
      </c>
      <c r="L262" s="32" t="s">
        <v>904</v>
      </c>
      <c r="M262" s="31">
        <f>2666.5</f>
        <v>2666.5</v>
      </c>
      <c r="N262" s="32" t="s">
        <v>904</v>
      </c>
      <c r="O262" s="31">
        <f>2532.5</f>
        <v>2532.5</v>
      </c>
      <c r="P262" s="32" t="s">
        <v>905</v>
      </c>
      <c r="Q262" s="31">
        <f>2535</f>
        <v>2535</v>
      </c>
      <c r="R262" s="32" t="s">
        <v>934</v>
      </c>
      <c r="S262" s="33">
        <f>2573.95</f>
        <v>2573.9499999999998</v>
      </c>
      <c r="T262" s="30">
        <f>1165720</f>
        <v>1165720</v>
      </c>
      <c r="U262" s="30">
        <f>179450</f>
        <v>179450</v>
      </c>
      <c r="V262" s="30">
        <f>2993151755</f>
        <v>2993151755</v>
      </c>
      <c r="W262" s="30">
        <f>464071810</f>
        <v>464071810</v>
      </c>
      <c r="X262" s="34">
        <f>20</f>
        <v>20</v>
      </c>
    </row>
    <row r="263" spans="1:24" x14ac:dyDescent="0.15">
      <c r="A263" s="25" t="s">
        <v>1041</v>
      </c>
      <c r="B263" s="25" t="s">
        <v>842</v>
      </c>
      <c r="C263" s="25" t="s">
        <v>843</v>
      </c>
      <c r="D263" s="25" t="s">
        <v>844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1912.5</f>
        <v>1912.5</v>
      </c>
      <c r="L263" s="32" t="s">
        <v>904</v>
      </c>
      <c r="M263" s="31">
        <f>1984.5</f>
        <v>1984.5</v>
      </c>
      <c r="N263" s="32" t="s">
        <v>815</v>
      </c>
      <c r="O263" s="31">
        <f>1830.5</f>
        <v>1830.5</v>
      </c>
      <c r="P263" s="32" t="s">
        <v>811</v>
      </c>
      <c r="Q263" s="31">
        <f>1947</f>
        <v>1947</v>
      </c>
      <c r="R263" s="32" t="s">
        <v>934</v>
      </c>
      <c r="S263" s="33">
        <f>1929.53</f>
        <v>1929.53</v>
      </c>
      <c r="T263" s="30">
        <f>3384080</f>
        <v>3384080</v>
      </c>
      <c r="U263" s="30">
        <f>1156500</f>
        <v>1156500</v>
      </c>
      <c r="V263" s="30">
        <f>6544089177</f>
        <v>6544089177</v>
      </c>
      <c r="W263" s="30">
        <f>2245045997</f>
        <v>2245045997</v>
      </c>
      <c r="X263" s="34">
        <f>20</f>
        <v>20</v>
      </c>
    </row>
    <row r="264" spans="1:24" x14ac:dyDescent="0.15">
      <c r="A264" s="25" t="s">
        <v>1041</v>
      </c>
      <c r="B264" s="25" t="s">
        <v>845</v>
      </c>
      <c r="C264" s="25" t="s">
        <v>846</v>
      </c>
      <c r="D264" s="25" t="s">
        <v>847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2754.5</f>
        <v>2754.5</v>
      </c>
      <c r="L264" s="32" t="s">
        <v>904</v>
      </c>
      <c r="M264" s="31">
        <f>2754.5</f>
        <v>2754.5</v>
      </c>
      <c r="N264" s="32" t="s">
        <v>904</v>
      </c>
      <c r="O264" s="31">
        <f>2611.5</f>
        <v>2611.5</v>
      </c>
      <c r="P264" s="32" t="s">
        <v>811</v>
      </c>
      <c r="Q264" s="31">
        <f>2616.5</f>
        <v>2616.5</v>
      </c>
      <c r="R264" s="32" t="s">
        <v>934</v>
      </c>
      <c r="S264" s="33">
        <f>2656.25</f>
        <v>2656.25</v>
      </c>
      <c r="T264" s="30">
        <f>14880</f>
        <v>14880</v>
      </c>
      <c r="U264" s="30">
        <f>20</f>
        <v>20</v>
      </c>
      <c r="V264" s="30">
        <f>39628950</f>
        <v>39628950</v>
      </c>
      <c r="W264" s="30">
        <f>53010</f>
        <v>53010</v>
      </c>
      <c r="X264" s="34">
        <f>20</f>
        <v>20</v>
      </c>
    </row>
    <row r="265" spans="1:24" x14ac:dyDescent="0.15">
      <c r="A265" s="25" t="s">
        <v>1041</v>
      </c>
      <c r="B265" s="25" t="s">
        <v>848</v>
      </c>
      <c r="C265" s="25" t="s">
        <v>849</v>
      </c>
      <c r="D265" s="25" t="s">
        <v>850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2528</f>
        <v>2528</v>
      </c>
      <c r="L265" s="32" t="s">
        <v>904</v>
      </c>
      <c r="M265" s="31">
        <f>2661</f>
        <v>2661</v>
      </c>
      <c r="N265" s="32" t="s">
        <v>820</v>
      </c>
      <c r="O265" s="31">
        <f>2480</f>
        <v>2480</v>
      </c>
      <c r="P265" s="32" t="s">
        <v>811</v>
      </c>
      <c r="Q265" s="31">
        <f>2590</f>
        <v>2590</v>
      </c>
      <c r="R265" s="32" t="s">
        <v>934</v>
      </c>
      <c r="S265" s="33">
        <f>2586.74</f>
        <v>2586.7399999999998</v>
      </c>
      <c r="T265" s="30">
        <f>1130</f>
        <v>1130</v>
      </c>
      <c r="U265" s="30" t="str">
        <f>"－"</f>
        <v>－</v>
      </c>
      <c r="V265" s="30">
        <f>2922740</f>
        <v>2922740</v>
      </c>
      <c r="W265" s="30" t="str">
        <f>"－"</f>
        <v>－</v>
      </c>
      <c r="X265" s="34">
        <f>19</f>
        <v>19</v>
      </c>
    </row>
    <row r="266" spans="1:24" x14ac:dyDescent="0.15">
      <c r="A266" s="25" t="s">
        <v>1041</v>
      </c>
      <c r="B266" s="25" t="s">
        <v>851</v>
      </c>
      <c r="C266" s="25" t="s">
        <v>852</v>
      </c>
      <c r="D266" s="25" t="s">
        <v>853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1545</f>
        <v>1545</v>
      </c>
      <c r="L266" s="32" t="s">
        <v>904</v>
      </c>
      <c r="M266" s="31">
        <f>1613</f>
        <v>1613</v>
      </c>
      <c r="N266" s="32" t="s">
        <v>815</v>
      </c>
      <c r="O266" s="31">
        <f>1505</f>
        <v>1505</v>
      </c>
      <c r="P266" s="32" t="s">
        <v>811</v>
      </c>
      <c r="Q266" s="31">
        <f>1583</f>
        <v>1583</v>
      </c>
      <c r="R266" s="32" t="s">
        <v>934</v>
      </c>
      <c r="S266" s="33">
        <f>1567.35</f>
        <v>1567.35</v>
      </c>
      <c r="T266" s="30">
        <f>11227</f>
        <v>11227</v>
      </c>
      <c r="U266" s="30" t="str">
        <f>"－"</f>
        <v>－</v>
      </c>
      <c r="V266" s="30">
        <f>17363190</f>
        <v>17363190</v>
      </c>
      <c r="W266" s="30" t="str">
        <f>"－"</f>
        <v>－</v>
      </c>
      <c r="X266" s="34">
        <f>20</f>
        <v>20</v>
      </c>
    </row>
    <row r="267" spans="1:24" x14ac:dyDescent="0.15">
      <c r="A267" s="25" t="s">
        <v>1041</v>
      </c>
      <c r="B267" s="25" t="s">
        <v>854</v>
      </c>
      <c r="C267" s="25" t="s">
        <v>855</v>
      </c>
      <c r="D267" s="25" t="s">
        <v>856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1900</f>
        <v>1900</v>
      </c>
      <c r="L267" s="32" t="s">
        <v>904</v>
      </c>
      <c r="M267" s="31">
        <f>2009</f>
        <v>2009</v>
      </c>
      <c r="N267" s="32" t="s">
        <v>820</v>
      </c>
      <c r="O267" s="31">
        <f>1826</f>
        <v>1826</v>
      </c>
      <c r="P267" s="32" t="s">
        <v>811</v>
      </c>
      <c r="Q267" s="31">
        <f>1943</f>
        <v>1943</v>
      </c>
      <c r="R267" s="32" t="s">
        <v>934</v>
      </c>
      <c r="S267" s="33">
        <f>1935.75</f>
        <v>1935.75</v>
      </c>
      <c r="T267" s="30">
        <f>21474</f>
        <v>21474</v>
      </c>
      <c r="U267" s="30" t="str">
        <f>"－"</f>
        <v>－</v>
      </c>
      <c r="V267" s="30">
        <f>41644375</f>
        <v>41644375</v>
      </c>
      <c r="W267" s="30" t="str">
        <f>"－"</f>
        <v>－</v>
      </c>
      <c r="X267" s="34">
        <f>20</f>
        <v>20</v>
      </c>
    </row>
    <row r="268" spans="1:24" x14ac:dyDescent="0.15">
      <c r="A268" s="25" t="s">
        <v>1041</v>
      </c>
      <c r="B268" s="25" t="s">
        <v>857</v>
      </c>
      <c r="C268" s="25" t="s">
        <v>858</v>
      </c>
      <c r="D268" s="25" t="s">
        <v>859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1679</f>
        <v>1679</v>
      </c>
      <c r="L268" s="32" t="s">
        <v>904</v>
      </c>
      <c r="M268" s="31">
        <f>1695</f>
        <v>1695</v>
      </c>
      <c r="N268" s="32" t="s">
        <v>820</v>
      </c>
      <c r="O268" s="31">
        <f>1597</f>
        <v>1597</v>
      </c>
      <c r="P268" s="32" t="s">
        <v>811</v>
      </c>
      <c r="Q268" s="31">
        <f>1631</f>
        <v>1631</v>
      </c>
      <c r="R268" s="32" t="s">
        <v>934</v>
      </c>
      <c r="S268" s="33">
        <f>1649.4</f>
        <v>1649.4</v>
      </c>
      <c r="T268" s="30">
        <f>46168</f>
        <v>46168</v>
      </c>
      <c r="U268" s="30" t="str">
        <f>"－"</f>
        <v>－</v>
      </c>
      <c r="V268" s="30">
        <f>75481399</f>
        <v>75481399</v>
      </c>
      <c r="W268" s="30" t="str">
        <f>"－"</f>
        <v>－</v>
      </c>
      <c r="X268" s="34">
        <f>20</f>
        <v>20</v>
      </c>
    </row>
    <row r="269" spans="1:24" x14ac:dyDescent="0.15">
      <c r="A269" s="25" t="s">
        <v>1041</v>
      </c>
      <c r="B269" s="25" t="s">
        <v>860</v>
      </c>
      <c r="C269" s="25" t="s">
        <v>861</v>
      </c>
      <c r="D269" s="25" t="s">
        <v>862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2607</f>
        <v>2607</v>
      </c>
      <c r="L269" s="32" t="s">
        <v>904</v>
      </c>
      <c r="M269" s="31">
        <f>2678</f>
        <v>2678</v>
      </c>
      <c r="N269" s="32" t="s">
        <v>820</v>
      </c>
      <c r="O269" s="31">
        <f>2533</f>
        <v>2533</v>
      </c>
      <c r="P269" s="32" t="s">
        <v>905</v>
      </c>
      <c r="Q269" s="31">
        <f>2604</f>
        <v>2604</v>
      </c>
      <c r="R269" s="32" t="s">
        <v>934</v>
      </c>
      <c r="S269" s="33">
        <f>2610</f>
        <v>2610</v>
      </c>
      <c r="T269" s="30">
        <f>41272</f>
        <v>41272</v>
      </c>
      <c r="U269" s="30">
        <f>3</f>
        <v>3</v>
      </c>
      <c r="V269" s="30">
        <f>107213842</f>
        <v>107213842</v>
      </c>
      <c r="W269" s="30">
        <f>7650</f>
        <v>7650</v>
      </c>
      <c r="X269" s="34">
        <f>20</f>
        <v>20</v>
      </c>
    </row>
    <row r="270" spans="1:24" x14ac:dyDescent="0.15">
      <c r="A270" s="25" t="s">
        <v>1041</v>
      </c>
      <c r="B270" s="25" t="s">
        <v>863</v>
      </c>
      <c r="C270" s="25" t="s">
        <v>864</v>
      </c>
      <c r="D270" s="25" t="s">
        <v>865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2014</f>
        <v>2014</v>
      </c>
      <c r="L270" s="32" t="s">
        <v>904</v>
      </c>
      <c r="M270" s="31">
        <f>2150</f>
        <v>2150</v>
      </c>
      <c r="N270" s="32" t="s">
        <v>820</v>
      </c>
      <c r="O270" s="31">
        <f>2013</f>
        <v>2013</v>
      </c>
      <c r="P270" s="32" t="s">
        <v>811</v>
      </c>
      <c r="Q270" s="31">
        <f>2104</f>
        <v>2104</v>
      </c>
      <c r="R270" s="32" t="s">
        <v>934</v>
      </c>
      <c r="S270" s="33">
        <f>2086.7</f>
        <v>2086.6999999999998</v>
      </c>
      <c r="T270" s="30">
        <f>63184</f>
        <v>63184</v>
      </c>
      <c r="U270" s="30">
        <f>7</f>
        <v>7</v>
      </c>
      <c r="V270" s="30">
        <f>132316949</f>
        <v>132316949</v>
      </c>
      <c r="W270" s="30">
        <f>14677</f>
        <v>14677</v>
      </c>
      <c r="X270" s="34">
        <f>20</f>
        <v>20</v>
      </c>
    </row>
    <row r="271" spans="1:24" x14ac:dyDescent="0.15">
      <c r="A271" s="25" t="s">
        <v>1041</v>
      </c>
      <c r="B271" s="25" t="s">
        <v>866</v>
      </c>
      <c r="C271" s="25" t="s">
        <v>867</v>
      </c>
      <c r="D271" s="25" t="s">
        <v>868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25810</f>
        <v>25810</v>
      </c>
      <c r="L271" s="32" t="s">
        <v>904</v>
      </c>
      <c r="M271" s="31">
        <f>26880</f>
        <v>26880</v>
      </c>
      <c r="N271" s="32" t="s">
        <v>820</v>
      </c>
      <c r="O271" s="31">
        <f>25720</f>
        <v>25720</v>
      </c>
      <c r="P271" s="32" t="s">
        <v>70</v>
      </c>
      <c r="Q271" s="31">
        <f>26470</f>
        <v>26470</v>
      </c>
      <c r="R271" s="32" t="s">
        <v>934</v>
      </c>
      <c r="S271" s="33">
        <f>26217.86</f>
        <v>26217.86</v>
      </c>
      <c r="T271" s="30">
        <f>34</f>
        <v>34</v>
      </c>
      <c r="U271" s="30" t="str">
        <f>"－"</f>
        <v>－</v>
      </c>
      <c r="V271" s="30">
        <f>892625</f>
        <v>892625</v>
      </c>
      <c r="W271" s="30" t="str">
        <f>"－"</f>
        <v>－</v>
      </c>
      <c r="X271" s="34">
        <f>14</f>
        <v>14</v>
      </c>
    </row>
    <row r="272" spans="1:24" x14ac:dyDescent="0.15">
      <c r="A272" s="25" t="s">
        <v>1041</v>
      </c>
      <c r="B272" s="25" t="s">
        <v>869</v>
      </c>
      <c r="C272" s="25" t="s">
        <v>870</v>
      </c>
      <c r="D272" s="25" t="s">
        <v>871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1982</f>
        <v>1982</v>
      </c>
      <c r="L272" s="32" t="s">
        <v>904</v>
      </c>
      <c r="M272" s="31">
        <f>2078</f>
        <v>2078</v>
      </c>
      <c r="N272" s="32" t="s">
        <v>820</v>
      </c>
      <c r="O272" s="31">
        <f>1956</f>
        <v>1956</v>
      </c>
      <c r="P272" s="32" t="s">
        <v>811</v>
      </c>
      <c r="Q272" s="31">
        <f>2042</f>
        <v>2042</v>
      </c>
      <c r="R272" s="32" t="s">
        <v>934</v>
      </c>
      <c r="S272" s="33">
        <f>2020.89</f>
        <v>2020.89</v>
      </c>
      <c r="T272" s="30">
        <f>12174</f>
        <v>12174</v>
      </c>
      <c r="U272" s="30" t="str">
        <f>"－"</f>
        <v>－</v>
      </c>
      <c r="V272" s="30">
        <f>24978329</f>
        <v>24978329</v>
      </c>
      <c r="W272" s="30" t="str">
        <f>"－"</f>
        <v>－</v>
      </c>
      <c r="X272" s="34">
        <f>18</f>
        <v>18</v>
      </c>
    </row>
    <row r="273" spans="1:24" x14ac:dyDescent="0.15">
      <c r="A273" s="25" t="s">
        <v>1041</v>
      </c>
      <c r="B273" s="25" t="s">
        <v>872</v>
      </c>
      <c r="C273" s="25" t="s">
        <v>873</v>
      </c>
      <c r="D273" s="25" t="s">
        <v>874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2045</f>
        <v>2045</v>
      </c>
      <c r="L273" s="32" t="s">
        <v>904</v>
      </c>
      <c r="M273" s="31">
        <f>2368</f>
        <v>2368</v>
      </c>
      <c r="N273" s="32" t="s">
        <v>906</v>
      </c>
      <c r="O273" s="31">
        <f>1992</f>
        <v>1992</v>
      </c>
      <c r="P273" s="32" t="s">
        <v>811</v>
      </c>
      <c r="Q273" s="31">
        <f>2253</f>
        <v>2253</v>
      </c>
      <c r="R273" s="32" t="s">
        <v>934</v>
      </c>
      <c r="S273" s="33">
        <f>2213.95</f>
        <v>2213.9499999999998</v>
      </c>
      <c r="T273" s="30">
        <f>527026</f>
        <v>527026</v>
      </c>
      <c r="U273" s="30">
        <f>94500</f>
        <v>94500</v>
      </c>
      <c r="V273" s="30">
        <f>1171698501</f>
        <v>1171698501</v>
      </c>
      <c r="W273" s="30">
        <f>200481750</f>
        <v>200481750</v>
      </c>
      <c r="X273" s="34">
        <f>20</f>
        <v>20</v>
      </c>
    </row>
    <row r="274" spans="1:24" x14ac:dyDescent="0.15">
      <c r="A274" s="25" t="s">
        <v>1041</v>
      </c>
      <c r="B274" s="25" t="s">
        <v>875</v>
      </c>
      <c r="C274" s="25" t="s">
        <v>876</v>
      </c>
      <c r="D274" s="25" t="s">
        <v>877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1825</f>
        <v>1825</v>
      </c>
      <c r="L274" s="32" t="s">
        <v>904</v>
      </c>
      <c r="M274" s="31">
        <f>1859</f>
        <v>1859</v>
      </c>
      <c r="N274" s="32" t="s">
        <v>815</v>
      </c>
      <c r="O274" s="31">
        <f>1780</f>
        <v>1780</v>
      </c>
      <c r="P274" s="32" t="s">
        <v>905</v>
      </c>
      <c r="Q274" s="31">
        <f>1819</f>
        <v>1819</v>
      </c>
      <c r="R274" s="32" t="s">
        <v>934</v>
      </c>
      <c r="S274" s="33">
        <f>1825.5</f>
        <v>1825.5</v>
      </c>
      <c r="T274" s="30">
        <f>5254</f>
        <v>5254</v>
      </c>
      <c r="U274" s="30" t="str">
        <f>"－"</f>
        <v>－</v>
      </c>
      <c r="V274" s="30">
        <f>9596140</f>
        <v>9596140</v>
      </c>
      <c r="W274" s="30" t="str">
        <f>"－"</f>
        <v>－</v>
      </c>
      <c r="X274" s="34">
        <f>20</f>
        <v>20</v>
      </c>
    </row>
    <row r="275" spans="1:24" x14ac:dyDescent="0.15">
      <c r="A275" s="25" t="s">
        <v>1041</v>
      </c>
      <c r="B275" s="25" t="s">
        <v>878</v>
      </c>
      <c r="C275" s="25" t="s">
        <v>879</v>
      </c>
      <c r="D275" s="25" t="s">
        <v>880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1316</f>
        <v>1316</v>
      </c>
      <c r="L275" s="32" t="s">
        <v>904</v>
      </c>
      <c r="M275" s="31">
        <f>1417</f>
        <v>1417</v>
      </c>
      <c r="N275" s="32" t="s">
        <v>820</v>
      </c>
      <c r="O275" s="31">
        <f>1316</f>
        <v>1316</v>
      </c>
      <c r="P275" s="32" t="s">
        <v>904</v>
      </c>
      <c r="Q275" s="31">
        <f>1394</f>
        <v>1394</v>
      </c>
      <c r="R275" s="32" t="s">
        <v>934</v>
      </c>
      <c r="S275" s="33">
        <f>1380</f>
        <v>1380</v>
      </c>
      <c r="T275" s="30">
        <f>12101</f>
        <v>12101</v>
      </c>
      <c r="U275" s="30" t="str">
        <f>"－"</f>
        <v>－</v>
      </c>
      <c r="V275" s="30">
        <f>16553305</f>
        <v>16553305</v>
      </c>
      <c r="W275" s="30" t="str">
        <f>"－"</f>
        <v>－</v>
      </c>
      <c r="X275" s="34">
        <f>20</f>
        <v>20</v>
      </c>
    </row>
    <row r="276" spans="1:24" x14ac:dyDescent="0.15">
      <c r="A276" s="25" t="s">
        <v>1041</v>
      </c>
      <c r="B276" s="25" t="s">
        <v>881</v>
      </c>
      <c r="C276" s="25" t="s">
        <v>882</v>
      </c>
      <c r="D276" s="25" t="s">
        <v>883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5439</f>
        <v>5439</v>
      </c>
      <c r="L276" s="32" t="s">
        <v>904</v>
      </c>
      <c r="M276" s="31">
        <f>5453</f>
        <v>5453</v>
      </c>
      <c r="N276" s="32" t="s">
        <v>904</v>
      </c>
      <c r="O276" s="31">
        <f>5175</f>
        <v>5175</v>
      </c>
      <c r="P276" s="32" t="s">
        <v>695</v>
      </c>
      <c r="Q276" s="31">
        <f>5214</f>
        <v>5214</v>
      </c>
      <c r="R276" s="32" t="s">
        <v>934</v>
      </c>
      <c r="S276" s="33">
        <f>5291.81</f>
        <v>5291.81</v>
      </c>
      <c r="T276" s="30">
        <f>323520</f>
        <v>323520</v>
      </c>
      <c r="U276" s="30">
        <f>274600</f>
        <v>274600</v>
      </c>
      <c r="V276" s="30">
        <f>1721760930</f>
        <v>1721760930</v>
      </c>
      <c r="W276" s="30">
        <f>1455888030</f>
        <v>1455888030</v>
      </c>
      <c r="X276" s="34">
        <f>16</f>
        <v>16</v>
      </c>
    </row>
    <row r="277" spans="1:24" x14ac:dyDescent="0.15">
      <c r="A277" s="25" t="s">
        <v>1041</v>
      </c>
      <c r="B277" s="25" t="s">
        <v>884</v>
      </c>
      <c r="C277" s="25" t="s">
        <v>885</v>
      </c>
      <c r="D277" s="25" t="s">
        <v>886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4065</f>
        <v>4065</v>
      </c>
      <c r="L277" s="32" t="s">
        <v>904</v>
      </c>
      <c r="M277" s="31">
        <f>4168</f>
        <v>4168</v>
      </c>
      <c r="N277" s="32" t="s">
        <v>820</v>
      </c>
      <c r="O277" s="31">
        <f>3997</f>
        <v>3997</v>
      </c>
      <c r="P277" s="32" t="s">
        <v>912</v>
      </c>
      <c r="Q277" s="31">
        <f>4168</f>
        <v>4168</v>
      </c>
      <c r="R277" s="32" t="s">
        <v>815</v>
      </c>
      <c r="S277" s="33">
        <f>4093.06</f>
        <v>4093.06</v>
      </c>
      <c r="T277" s="30">
        <f>153160</f>
        <v>153160</v>
      </c>
      <c r="U277" s="30">
        <f>300</f>
        <v>300</v>
      </c>
      <c r="V277" s="30">
        <f>621873670</f>
        <v>621873670</v>
      </c>
      <c r="W277" s="30">
        <f>1221350</f>
        <v>1221350</v>
      </c>
      <c r="X277" s="34">
        <f>16</f>
        <v>16</v>
      </c>
    </row>
    <row r="278" spans="1:24" x14ac:dyDescent="0.15">
      <c r="A278" s="25" t="s">
        <v>1041</v>
      </c>
      <c r="B278" s="25" t="s">
        <v>887</v>
      </c>
      <c r="C278" s="25" t="s">
        <v>888</v>
      </c>
      <c r="D278" s="25" t="s">
        <v>889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677</f>
        <v>677</v>
      </c>
      <c r="L278" s="32" t="s">
        <v>811</v>
      </c>
      <c r="M278" s="31">
        <f>701.9</f>
        <v>701.9</v>
      </c>
      <c r="N278" s="32" t="s">
        <v>820</v>
      </c>
      <c r="O278" s="31">
        <f>674.8</f>
        <v>674.8</v>
      </c>
      <c r="P278" s="32" t="s">
        <v>912</v>
      </c>
      <c r="Q278" s="31">
        <f>698.1</f>
        <v>698.1</v>
      </c>
      <c r="R278" s="32" t="s">
        <v>934</v>
      </c>
      <c r="S278" s="33">
        <f>688.99</f>
        <v>688.99</v>
      </c>
      <c r="T278" s="30">
        <f>2600</f>
        <v>2600</v>
      </c>
      <c r="U278" s="30" t="str">
        <f>"－"</f>
        <v>－</v>
      </c>
      <c r="V278" s="30">
        <f>1794624</f>
        <v>1794624</v>
      </c>
      <c r="W278" s="30" t="str">
        <f>"－"</f>
        <v>－</v>
      </c>
      <c r="X278" s="34">
        <f>12</f>
        <v>12</v>
      </c>
    </row>
    <row r="279" spans="1:24" x14ac:dyDescent="0.15">
      <c r="A279" s="25" t="s">
        <v>1041</v>
      </c>
      <c r="B279" s="25" t="s">
        <v>891</v>
      </c>
      <c r="C279" s="25" t="s">
        <v>892</v>
      </c>
      <c r="D279" s="25" t="s">
        <v>893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2111</f>
        <v>2111</v>
      </c>
      <c r="L279" s="32" t="s">
        <v>909</v>
      </c>
      <c r="M279" s="31">
        <f>2275</f>
        <v>2275</v>
      </c>
      <c r="N279" s="32" t="s">
        <v>820</v>
      </c>
      <c r="O279" s="31">
        <f>2062</f>
        <v>2062</v>
      </c>
      <c r="P279" s="32" t="s">
        <v>905</v>
      </c>
      <c r="Q279" s="31">
        <f>2197</f>
        <v>2197</v>
      </c>
      <c r="R279" s="32" t="s">
        <v>934</v>
      </c>
      <c r="S279" s="33">
        <f>2193.06</f>
        <v>2193.06</v>
      </c>
      <c r="T279" s="30">
        <f>2587</f>
        <v>2587</v>
      </c>
      <c r="U279" s="30" t="str">
        <f>"－"</f>
        <v>－</v>
      </c>
      <c r="V279" s="30">
        <f>5771451</f>
        <v>5771451</v>
      </c>
      <c r="W279" s="30" t="str">
        <f>"－"</f>
        <v>－</v>
      </c>
      <c r="X279" s="34">
        <f>17</f>
        <v>17</v>
      </c>
    </row>
    <row r="280" spans="1:24" x14ac:dyDescent="0.15">
      <c r="A280" s="25" t="s">
        <v>1041</v>
      </c>
      <c r="B280" s="25" t="s">
        <v>894</v>
      </c>
      <c r="C280" s="25" t="s">
        <v>895</v>
      </c>
      <c r="D280" s="25" t="s">
        <v>896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1860</f>
        <v>1860</v>
      </c>
      <c r="L280" s="32" t="s">
        <v>904</v>
      </c>
      <c r="M280" s="31">
        <f>2011</f>
        <v>2011</v>
      </c>
      <c r="N280" s="32" t="s">
        <v>820</v>
      </c>
      <c r="O280" s="31">
        <f>1790</f>
        <v>1790</v>
      </c>
      <c r="P280" s="32" t="s">
        <v>811</v>
      </c>
      <c r="Q280" s="31">
        <f>1961</f>
        <v>1961</v>
      </c>
      <c r="R280" s="32" t="s">
        <v>934</v>
      </c>
      <c r="S280" s="33">
        <f>1932.39</f>
        <v>1932.39</v>
      </c>
      <c r="T280" s="30">
        <f>4294</f>
        <v>4294</v>
      </c>
      <c r="U280" s="30" t="str">
        <f>"－"</f>
        <v>－</v>
      </c>
      <c r="V280" s="30">
        <f>7972228</f>
        <v>7972228</v>
      </c>
      <c r="W280" s="30" t="str">
        <f>"－"</f>
        <v>－</v>
      </c>
      <c r="X280" s="34">
        <f>18</f>
        <v>18</v>
      </c>
    </row>
    <row r="281" spans="1:24" x14ac:dyDescent="0.15">
      <c r="A281" s="25" t="s">
        <v>1041</v>
      </c>
      <c r="B281" s="25" t="s">
        <v>897</v>
      </c>
      <c r="C281" s="25" t="s">
        <v>898</v>
      </c>
      <c r="D281" s="25" t="s">
        <v>899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8130</f>
        <v>8130</v>
      </c>
      <c r="L281" s="32" t="s">
        <v>904</v>
      </c>
      <c r="M281" s="31">
        <f>8140</f>
        <v>8140</v>
      </c>
      <c r="N281" s="32" t="s">
        <v>904</v>
      </c>
      <c r="O281" s="31">
        <f>7672</f>
        <v>7672</v>
      </c>
      <c r="P281" s="32" t="s">
        <v>695</v>
      </c>
      <c r="Q281" s="31">
        <f>7766</f>
        <v>7766</v>
      </c>
      <c r="R281" s="32" t="s">
        <v>934</v>
      </c>
      <c r="S281" s="33">
        <f>7866.11</f>
        <v>7866.11</v>
      </c>
      <c r="T281" s="30">
        <f>73761</f>
        <v>73761</v>
      </c>
      <c r="U281" s="30">
        <f>71900</f>
        <v>71900</v>
      </c>
      <c r="V281" s="30">
        <f>568476170</f>
        <v>568476170</v>
      </c>
      <c r="W281" s="30">
        <f>554003080</f>
        <v>554003080</v>
      </c>
      <c r="X281" s="34">
        <f>19</f>
        <v>19</v>
      </c>
    </row>
    <row r="282" spans="1:24" x14ac:dyDescent="0.15">
      <c r="A282" s="25" t="s">
        <v>1041</v>
      </c>
      <c r="B282" s="25" t="s">
        <v>900</v>
      </c>
      <c r="C282" s="25" t="s">
        <v>901</v>
      </c>
      <c r="D282" s="25" t="s">
        <v>902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6080</f>
        <v>6080</v>
      </c>
      <c r="L282" s="32" t="s">
        <v>904</v>
      </c>
      <c r="M282" s="31">
        <f>6200</f>
        <v>6200</v>
      </c>
      <c r="N282" s="32" t="s">
        <v>815</v>
      </c>
      <c r="O282" s="31">
        <f>5965</f>
        <v>5965</v>
      </c>
      <c r="P282" s="32" t="s">
        <v>912</v>
      </c>
      <c r="Q282" s="31">
        <f>6167</f>
        <v>6167</v>
      </c>
      <c r="R282" s="32" t="s">
        <v>934</v>
      </c>
      <c r="S282" s="33">
        <f>6100.47</f>
        <v>6100.47</v>
      </c>
      <c r="T282" s="30">
        <f>98768</f>
        <v>98768</v>
      </c>
      <c r="U282" s="30">
        <f>15000</f>
        <v>15000</v>
      </c>
      <c r="V282" s="30">
        <f>595561557</f>
        <v>595561557</v>
      </c>
      <c r="W282" s="30">
        <f>91854928</f>
        <v>91854928</v>
      </c>
      <c r="X282" s="34">
        <f>19</f>
        <v>19</v>
      </c>
    </row>
    <row r="283" spans="1:24" x14ac:dyDescent="0.15">
      <c r="A283" s="25" t="s">
        <v>1041</v>
      </c>
      <c r="B283" s="25" t="s">
        <v>916</v>
      </c>
      <c r="C283" s="25" t="s">
        <v>917</v>
      </c>
      <c r="D283" s="25" t="s">
        <v>918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15995</f>
        <v>15995</v>
      </c>
      <c r="L283" s="32" t="s">
        <v>904</v>
      </c>
      <c r="M283" s="31">
        <f>16030</f>
        <v>16030</v>
      </c>
      <c r="N283" s="32" t="s">
        <v>904</v>
      </c>
      <c r="O283" s="31">
        <f>14875</f>
        <v>14875</v>
      </c>
      <c r="P283" s="32" t="s">
        <v>70</v>
      </c>
      <c r="Q283" s="31">
        <f>15020</f>
        <v>15020</v>
      </c>
      <c r="R283" s="32" t="s">
        <v>934</v>
      </c>
      <c r="S283" s="33">
        <f>15360</f>
        <v>15360</v>
      </c>
      <c r="T283" s="30">
        <f>213611</f>
        <v>213611</v>
      </c>
      <c r="U283" s="30" t="str">
        <f>"－"</f>
        <v>－</v>
      </c>
      <c r="V283" s="30">
        <f>3268114755</f>
        <v>3268114755</v>
      </c>
      <c r="W283" s="30" t="str">
        <f>"－"</f>
        <v>－</v>
      </c>
      <c r="X283" s="34">
        <f>20</f>
        <v>20</v>
      </c>
    </row>
    <row r="284" spans="1:24" x14ac:dyDescent="0.15">
      <c r="A284" s="25" t="s">
        <v>1041</v>
      </c>
      <c r="B284" s="25" t="s">
        <v>920</v>
      </c>
      <c r="C284" s="25" t="s">
        <v>921</v>
      </c>
      <c r="D284" s="25" t="s">
        <v>922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7840</f>
        <v>7840</v>
      </c>
      <c r="L284" s="32" t="s">
        <v>904</v>
      </c>
      <c r="M284" s="31">
        <f>8137</f>
        <v>8137</v>
      </c>
      <c r="N284" s="32" t="s">
        <v>906</v>
      </c>
      <c r="O284" s="31">
        <f>7331</f>
        <v>7331</v>
      </c>
      <c r="P284" s="32" t="s">
        <v>811</v>
      </c>
      <c r="Q284" s="31">
        <f>7888</f>
        <v>7888</v>
      </c>
      <c r="R284" s="32" t="s">
        <v>934</v>
      </c>
      <c r="S284" s="33">
        <f>7864.25</f>
        <v>7864.25</v>
      </c>
      <c r="T284" s="30">
        <f>660846</f>
        <v>660846</v>
      </c>
      <c r="U284" s="30">
        <f>5000</f>
        <v>5000</v>
      </c>
      <c r="V284" s="30">
        <f>5131606953</f>
        <v>5131606953</v>
      </c>
      <c r="W284" s="30">
        <f>39785000</f>
        <v>39785000</v>
      </c>
      <c r="X284" s="34">
        <f>20</f>
        <v>20</v>
      </c>
    </row>
    <row r="285" spans="1:24" x14ac:dyDescent="0.15">
      <c r="A285" s="25" t="s">
        <v>1041</v>
      </c>
      <c r="B285" s="25" t="s">
        <v>923</v>
      </c>
      <c r="C285" s="25" t="s">
        <v>924</v>
      </c>
      <c r="D285" s="25" t="s">
        <v>925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32180</f>
        <v>32180</v>
      </c>
      <c r="L285" s="32" t="s">
        <v>904</v>
      </c>
      <c r="M285" s="31">
        <f>34350</f>
        <v>34350</v>
      </c>
      <c r="N285" s="32" t="s">
        <v>811</v>
      </c>
      <c r="O285" s="31">
        <f>30760</f>
        <v>30760</v>
      </c>
      <c r="P285" s="32" t="s">
        <v>906</v>
      </c>
      <c r="Q285" s="31">
        <f>31770</f>
        <v>31770</v>
      </c>
      <c r="R285" s="32" t="s">
        <v>934</v>
      </c>
      <c r="S285" s="33">
        <f>31955.5</f>
        <v>31955.5</v>
      </c>
      <c r="T285" s="30">
        <f>620067</f>
        <v>620067</v>
      </c>
      <c r="U285" s="30">
        <f>117730</f>
        <v>117730</v>
      </c>
      <c r="V285" s="30">
        <f>19986561029</f>
        <v>19986561029</v>
      </c>
      <c r="W285" s="30">
        <f>3810457169</f>
        <v>3810457169</v>
      </c>
      <c r="X285" s="34">
        <f>20</f>
        <v>20</v>
      </c>
    </row>
    <row r="286" spans="1:24" x14ac:dyDescent="0.15">
      <c r="A286" s="25" t="s">
        <v>1041</v>
      </c>
      <c r="B286" s="25" t="s">
        <v>926</v>
      </c>
      <c r="C286" s="25" t="s">
        <v>927</v>
      </c>
      <c r="D286" s="25" t="s">
        <v>928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4403</f>
        <v>4403</v>
      </c>
      <c r="L286" s="32" t="s">
        <v>904</v>
      </c>
      <c r="M286" s="31">
        <f>4424</f>
        <v>4424</v>
      </c>
      <c r="N286" s="32" t="s">
        <v>906</v>
      </c>
      <c r="O286" s="31">
        <f>4333</f>
        <v>4333</v>
      </c>
      <c r="P286" s="32" t="s">
        <v>912</v>
      </c>
      <c r="Q286" s="31">
        <f>4424</f>
        <v>4424</v>
      </c>
      <c r="R286" s="32" t="s">
        <v>906</v>
      </c>
      <c r="S286" s="33">
        <f>4382.75</f>
        <v>4382.75</v>
      </c>
      <c r="T286" s="30">
        <f>23030</f>
        <v>23030</v>
      </c>
      <c r="U286" s="30">
        <f>22800</f>
        <v>22800</v>
      </c>
      <c r="V286" s="30">
        <f>101475846</f>
        <v>101475846</v>
      </c>
      <c r="W286" s="30">
        <f>100472696</f>
        <v>100472696</v>
      </c>
      <c r="X286" s="34">
        <f>4</f>
        <v>4</v>
      </c>
    </row>
    <row r="287" spans="1:24" x14ac:dyDescent="0.15">
      <c r="A287" s="25" t="s">
        <v>1041</v>
      </c>
      <c r="B287" s="25" t="s">
        <v>930</v>
      </c>
      <c r="C287" s="25" t="s">
        <v>931</v>
      </c>
      <c r="D287" s="25" t="s">
        <v>932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5128</f>
        <v>5128</v>
      </c>
      <c r="L287" s="32" t="s">
        <v>904</v>
      </c>
      <c r="M287" s="31">
        <f>5227</f>
        <v>5227</v>
      </c>
      <c r="N287" s="32" t="s">
        <v>906</v>
      </c>
      <c r="O287" s="31">
        <f>4995</f>
        <v>4995</v>
      </c>
      <c r="P287" s="32" t="s">
        <v>811</v>
      </c>
      <c r="Q287" s="31">
        <f>5066</f>
        <v>5066</v>
      </c>
      <c r="R287" s="32" t="s">
        <v>934</v>
      </c>
      <c r="S287" s="33">
        <f>5066</f>
        <v>5066</v>
      </c>
      <c r="T287" s="30">
        <f>368080</f>
        <v>368080</v>
      </c>
      <c r="U287" s="30">
        <f>366000</f>
        <v>366000</v>
      </c>
      <c r="V287" s="30">
        <f>1853518250</f>
        <v>1853518250</v>
      </c>
      <c r="W287" s="30">
        <f>1842949100</f>
        <v>1842949100</v>
      </c>
      <c r="X287" s="34">
        <f>13</f>
        <v>13</v>
      </c>
    </row>
    <row r="288" spans="1:24" x14ac:dyDescent="0.15">
      <c r="A288" s="25" t="s">
        <v>1041</v>
      </c>
      <c r="B288" s="25" t="s">
        <v>949</v>
      </c>
      <c r="C288" s="25" t="s">
        <v>950</v>
      </c>
      <c r="D288" s="25" t="s">
        <v>951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1635</f>
        <v>1635</v>
      </c>
      <c r="L288" s="32" t="s">
        <v>904</v>
      </c>
      <c r="M288" s="31">
        <f>1698.5</f>
        <v>1698.5</v>
      </c>
      <c r="N288" s="32" t="s">
        <v>906</v>
      </c>
      <c r="O288" s="31">
        <f>1528.5</f>
        <v>1528.5</v>
      </c>
      <c r="P288" s="32" t="s">
        <v>811</v>
      </c>
      <c r="Q288" s="31">
        <f>1644</f>
        <v>1644</v>
      </c>
      <c r="R288" s="32" t="s">
        <v>934</v>
      </c>
      <c r="S288" s="33">
        <f>1639.85</f>
        <v>1639.85</v>
      </c>
      <c r="T288" s="30">
        <f>3738100</f>
        <v>3738100</v>
      </c>
      <c r="U288" s="30" t="str">
        <f>"－"</f>
        <v>－</v>
      </c>
      <c r="V288" s="30">
        <f>6128552300</f>
        <v>6128552300</v>
      </c>
      <c r="W288" s="30" t="str">
        <f>"－"</f>
        <v>－</v>
      </c>
      <c r="X288" s="34">
        <f>20</f>
        <v>20</v>
      </c>
    </row>
    <row r="289" spans="1:24" x14ac:dyDescent="0.15">
      <c r="A289" s="25" t="s">
        <v>1041</v>
      </c>
      <c r="B289" s="25" t="s">
        <v>953</v>
      </c>
      <c r="C289" s="25" t="s">
        <v>954</v>
      </c>
      <c r="D289" s="25" t="s">
        <v>955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1905</f>
        <v>1905</v>
      </c>
      <c r="L289" s="32" t="s">
        <v>904</v>
      </c>
      <c r="M289" s="31">
        <f>1994</f>
        <v>1994</v>
      </c>
      <c r="N289" s="32" t="s">
        <v>94</v>
      </c>
      <c r="O289" s="31">
        <f>1857</f>
        <v>1857</v>
      </c>
      <c r="P289" s="32" t="s">
        <v>811</v>
      </c>
      <c r="Q289" s="31">
        <f>1961</f>
        <v>1961</v>
      </c>
      <c r="R289" s="32" t="s">
        <v>934</v>
      </c>
      <c r="S289" s="33">
        <f>1938.88</f>
        <v>1938.88</v>
      </c>
      <c r="T289" s="30">
        <f>3062440</f>
        <v>3062440</v>
      </c>
      <c r="U289" s="30">
        <f>1573550</f>
        <v>1573550</v>
      </c>
      <c r="V289" s="30">
        <f>5999158610</f>
        <v>5999158610</v>
      </c>
      <c r="W289" s="30">
        <f>3062071190</f>
        <v>3062071190</v>
      </c>
      <c r="X289" s="34">
        <f>20</f>
        <v>20</v>
      </c>
    </row>
    <row r="290" spans="1:24" x14ac:dyDescent="0.15">
      <c r="A290" s="25" t="s">
        <v>1041</v>
      </c>
      <c r="B290" s="25" t="s">
        <v>956</v>
      </c>
      <c r="C290" s="25" t="s">
        <v>957</v>
      </c>
      <c r="D290" s="25" t="s">
        <v>958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1586</f>
        <v>1586</v>
      </c>
      <c r="L290" s="32" t="s">
        <v>904</v>
      </c>
      <c r="M290" s="31">
        <f>1618</f>
        <v>1618</v>
      </c>
      <c r="N290" s="32" t="s">
        <v>815</v>
      </c>
      <c r="O290" s="31">
        <f>1559</f>
        <v>1559</v>
      </c>
      <c r="P290" s="32" t="s">
        <v>811</v>
      </c>
      <c r="Q290" s="31">
        <f>1594</f>
        <v>1594</v>
      </c>
      <c r="R290" s="32" t="s">
        <v>936</v>
      </c>
      <c r="S290" s="33">
        <f>1586.44</f>
        <v>1586.44</v>
      </c>
      <c r="T290" s="30">
        <f>535</f>
        <v>535</v>
      </c>
      <c r="U290" s="30" t="str">
        <f t="shared" ref="U290:U295" si="12">"－"</f>
        <v>－</v>
      </c>
      <c r="V290" s="30">
        <f>849406</f>
        <v>849406</v>
      </c>
      <c r="W290" s="30" t="str">
        <f t="shared" ref="W290:W295" si="13">"－"</f>
        <v>－</v>
      </c>
      <c r="X290" s="34">
        <f>16</f>
        <v>16</v>
      </c>
    </row>
    <row r="291" spans="1:24" x14ac:dyDescent="0.15">
      <c r="A291" s="25" t="s">
        <v>1041</v>
      </c>
      <c r="B291" s="25" t="s">
        <v>960</v>
      </c>
      <c r="C291" s="25" t="s">
        <v>961</v>
      </c>
      <c r="D291" s="25" t="s">
        <v>962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1537</f>
        <v>1537</v>
      </c>
      <c r="L291" s="32" t="s">
        <v>904</v>
      </c>
      <c r="M291" s="31">
        <f>1602</f>
        <v>1602</v>
      </c>
      <c r="N291" s="32" t="s">
        <v>820</v>
      </c>
      <c r="O291" s="31">
        <f>1514</f>
        <v>1514</v>
      </c>
      <c r="P291" s="32" t="s">
        <v>811</v>
      </c>
      <c r="Q291" s="31">
        <f>1578</f>
        <v>1578</v>
      </c>
      <c r="R291" s="32" t="s">
        <v>936</v>
      </c>
      <c r="S291" s="33">
        <f>1561.47</f>
        <v>1561.47</v>
      </c>
      <c r="T291" s="30">
        <f>1903</f>
        <v>1903</v>
      </c>
      <c r="U291" s="30" t="str">
        <f t="shared" si="12"/>
        <v>－</v>
      </c>
      <c r="V291" s="30">
        <f>2967661</f>
        <v>2967661</v>
      </c>
      <c r="W291" s="30" t="str">
        <f t="shared" si="13"/>
        <v>－</v>
      </c>
      <c r="X291" s="34">
        <f>19</f>
        <v>19</v>
      </c>
    </row>
    <row r="292" spans="1:24" x14ac:dyDescent="0.15">
      <c r="A292" s="25" t="s">
        <v>1041</v>
      </c>
      <c r="B292" s="25" t="s">
        <v>963</v>
      </c>
      <c r="C292" s="25" t="s">
        <v>964</v>
      </c>
      <c r="D292" s="25" t="s">
        <v>965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3160</f>
        <v>3160</v>
      </c>
      <c r="L292" s="32" t="s">
        <v>904</v>
      </c>
      <c r="M292" s="31">
        <f>3260</f>
        <v>3260</v>
      </c>
      <c r="N292" s="32" t="s">
        <v>94</v>
      </c>
      <c r="O292" s="31">
        <f>3110</f>
        <v>3110</v>
      </c>
      <c r="P292" s="32" t="s">
        <v>906</v>
      </c>
      <c r="Q292" s="31">
        <f>3210</f>
        <v>3210</v>
      </c>
      <c r="R292" s="32" t="s">
        <v>934</v>
      </c>
      <c r="S292" s="33">
        <f>3180</f>
        <v>3180</v>
      </c>
      <c r="T292" s="30">
        <f>2573</f>
        <v>2573</v>
      </c>
      <c r="U292" s="30" t="str">
        <f t="shared" si="12"/>
        <v>－</v>
      </c>
      <c r="V292" s="30">
        <f>8159765</f>
        <v>8159765</v>
      </c>
      <c r="W292" s="30" t="str">
        <f t="shared" si="13"/>
        <v>－</v>
      </c>
      <c r="X292" s="34">
        <f>20</f>
        <v>20</v>
      </c>
    </row>
    <row r="293" spans="1:24" x14ac:dyDescent="0.15">
      <c r="A293" s="25" t="s">
        <v>1041</v>
      </c>
      <c r="B293" s="25" t="s">
        <v>967</v>
      </c>
      <c r="C293" s="25" t="s">
        <v>968</v>
      </c>
      <c r="D293" s="25" t="s">
        <v>969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1983</f>
        <v>1983</v>
      </c>
      <c r="L293" s="32" t="s">
        <v>811</v>
      </c>
      <c r="M293" s="31">
        <f>2044.5</f>
        <v>2044.5</v>
      </c>
      <c r="N293" s="32" t="s">
        <v>906</v>
      </c>
      <c r="O293" s="31">
        <f>1983</f>
        <v>1983</v>
      </c>
      <c r="P293" s="32" t="s">
        <v>811</v>
      </c>
      <c r="Q293" s="31">
        <f>2040</f>
        <v>2040</v>
      </c>
      <c r="R293" s="32" t="s">
        <v>814</v>
      </c>
      <c r="S293" s="33">
        <f>2016.13</f>
        <v>2016.13</v>
      </c>
      <c r="T293" s="30">
        <f>4950</f>
        <v>4950</v>
      </c>
      <c r="U293" s="30" t="str">
        <f t="shared" si="12"/>
        <v>－</v>
      </c>
      <c r="V293" s="30">
        <f>9891935</f>
        <v>9891935</v>
      </c>
      <c r="W293" s="30" t="str">
        <f t="shared" si="13"/>
        <v>－</v>
      </c>
      <c r="X293" s="34">
        <f>4</f>
        <v>4</v>
      </c>
    </row>
    <row r="294" spans="1:24" x14ac:dyDescent="0.15">
      <c r="A294" s="25" t="s">
        <v>1041</v>
      </c>
      <c r="B294" s="25" t="s">
        <v>982</v>
      </c>
      <c r="C294" s="25" t="s">
        <v>983</v>
      </c>
      <c r="D294" s="25" t="s">
        <v>984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206.3</f>
        <v>206.3</v>
      </c>
      <c r="L294" s="32" t="s">
        <v>904</v>
      </c>
      <c r="M294" s="31">
        <f>214.2</f>
        <v>214.2</v>
      </c>
      <c r="N294" s="32" t="s">
        <v>821</v>
      </c>
      <c r="O294" s="31">
        <f>191.1</f>
        <v>191.1</v>
      </c>
      <c r="P294" s="32" t="s">
        <v>811</v>
      </c>
      <c r="Q294" s="31">
        <f>204</f>
        <v>204</v>
      </c>
      <c r="R294" s="32" t="s">
        <v>934</v>
      </c>
      <c r="S294" s="33">
        <f>202.53</f>
        <v>202.53</v>
      </c>
      <c r="T294" s="30">
        <f>13600</f>
        <v>13600</v>
      </c>
      <c r="U294" s="30" t="str">
        <f t="shared" si="12"/>
        <v>－</v>
      </c>
      <c r="V294" s="30">
        <f>2757502</f>
        <v>2757502</v>
      </c>
      <c r="W294" s="30" t="str">
        <f t="shared" si="13"/>
        <v>－</v>
      </c>
      <c r="X294" s="34">
        <f>19</f>
        <v>19</v>
      </c>
    </row>
    <row r="295" spans="1:24" x14ac:dyDescent="0.15">
      <c r="A295" s="25" t="s">
        <v>1041</v>
      </c>
      <c r="B295" s="25" t="s">
        <v>972</v>
      </c>
      <c r="C295" s="25" t="s">
        <v>973</v>
      </c>
      <c r="D295" s="25" t="s">
        <v>974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202.5</f>
        <v>202.5</v>
      </c>
      <c r="L295" s="32" t="s">
        <v>904</v>
      </c>
      <c r="M295" s="31">
        <f>202.5</f>
        <v>202.5</v>
      </c>
      <c r="N295" s="32" t="s">
        <v>904</v>
      </c>
      <c r="O295" s="31">
        <f>193</f>
        <v>193</v>
      </c>
      <c r="P295" s="32" t="s">
        <v>906</v>
      </c>
      <c r="Q295" s="31">
        <f>198.5</f>
        <v>198.5</v>
      </c>
      <c r="R295" s="32" t="s">
        <v>934</v>
      </c>
      <c r="S295" s="33">
        <f>198.64</f>
        <v>198.64</v>
      </c>
      <c r="T295" s="30">
        <f>12210</f>
        <v>12210</v>
      </c>
      <c r="U295" s="30" t="str">
        <f t="shared" si="12"/>
        <v>－</v>
      </c>
      <c r="V295" s="30">
        <f>2408200</f>
        <v>2408200</v>
      </c>
      <c r="W295" s="30" t="str">
        <f t="shared" si="13"/>
        <v>－</v>
      </c>
      <c r="X295" s="34">
        <f>20</f>
        <v>20</v>
      </c>
    </row>
    <row r="296" spans="1:24" x14ac:dyDescent="0.15">
      <c r="A296" s="25" t="s">
        <v>1041</v>
      </c>
      <c r="B296" s="25" t="s">
        <v>976</v>
      </c>
      <c r="C296" s="25" t="s">
        <v>977</v>
      </c>
      <c r="D296" s="25" t="s">
        <v>978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727.4</f>
        <v>727.4</v>
      </c>
      <c r="L296" s="32" t="s">
        <v>904</v>
      </c>
      <c r="M296" s="31">
        <f>744</f>
        <v>744</v>
      </c>
      <c r="N296" s="32" t="s">
        <v>94</v>
      </c>
      <c r="O296" s="31">
        <f>717.1</f>
        <v>717.1</v>
      </c>
      <c r="P296" s="32" t="s">
        <v>695</v>
      </c>
      <c r="Q296" s="31">
        <f>741.4</f>
        <v>741.4</v>
      </c>
      <c r="R296" s="32" t="s">
        <v>934</v>
      </c>
      <c r="S296" s="33">
        <f>731.38</f>
        <v>731.38</v>
      </c>
      <c r="T296" s="30">
        <f>29160</f>
        <v>29160</v>
      </c>
      <c r="U296" s="30">
        <f>19610</f>
        <v>19610</v>
      </c>
      <c r="V296" s="30">
        <f>21449385</f>
        <v>21449385</v>
      </c>
      <c r="W296" s="30">
        <f>14417830</f>
        <v>14417830</v>
      </c>
      <c r="X296" s="34">
        <f>17</f>
        <v>17</v>
      </c>
    </row>
    <row r="297" spans="1:24" x14ac:dyDescent="0.15">
      <c r="A297" s="25" t="s">
        <v>1041</v>
      </c>
      <c r="B297" s="25" t="s">
        <v>986</v>
      </c>
      <c r="C297" s="25" t="s">
        <v>987</v>
      </c>
      <c r="D297" s="25" t="s">
        <v>988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1037</f>
        <v>1037</v>
      </c>
      <c r="L297" s="32" t="s">
        <v>904</v>
      </c>
      <c r="M297" s="31">
        <f>1128</f>
        <v>1128</v>
      </c>
      <c r="N297" s="32" t="s">
        <v>821</v>
      </c>
      <c r="O297" s="31">
        <f>1020</f>
        <v>1020</v>
      </c>
      <c r="P297" s="32" t="s">
        <v>811</v>
      </c>
      <c r="Q297" s="31">
        <f>1073</f>
        <v>1073</v>
      </c>
      <c r="R297" s="32" t="s">
        <v>934</v>
      </c>
      <c r="S297" s="33">
        <f>1074.2</f>
        <v>1074.2</v>
      </c>
      <c r="T297" s="30">
        <f>440502</f>
        <v>440502</v>
      </c>
      <c r="U297" s="30">
        <f>300000</f>
        <v>300000</v>
      </c>
      <c r="V297" s="30">
        <f>485423624</f>
        <v>485423624</v>
      </c>
      <c r="W297" s="30">
        <f>330720000</f>
        <v>330720000</v>
      </c>
      <c r="X297" s="34">
        <f>20</f>
        <v>20</v>
      </c>
    </row>
    <row r="298" spans="1:24" x14ac:dyDescent="0.15">
      <c r="A298" s="25" t="s">
        <v>1041</v>
      </c>
      <c r="B298" s="25" t="s">
        <v>990</v>
      </c>
      <c r="C298" s="25" t="s">
        <v>991</v>
      </c>
      <c r="D298" s="25" t="s">
        <v>992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1033</f>
        <v>1033</v>
      </c>
      <c r="L298" s="32" t="s">
        <v>904</v>
      </c>
      <c r="M298" s="31">
        <f>1050</f>
        <v>1050</v>
      </c>
      <c r="N298" s="32" t="s">
        <v>821</v>
      </c>
      <c r="O298" s="31">
        <f>1014</f>
        <v>1014</v>
      </c>
      <c r="P298" s="32" t="s">
        <v>70</v>
      </c>
      <c r="Q298" s="31">
        <f>1038</f>
        <v>1038</v>
      </c>
      <c r="R298" s="32" t="s">
        <v>934</v>
      </c>
      <c r="S298" s="33">
        <f>1027.4</f>
        <v>1027.4000000000001</v>
      </c>
      <c r="T298" s="30">
        <f>1912</f>
        <v>1912</v>
      </c>
      <c r="U298" s="30" t="str">
        <f>"－"</f>
        <v>－</v>
      </c>
      <c r="V298" s="30">
        <f>1968793</f>
        <v>1968793</v>
      </c>
      <c r="W298" s="30" t="str">
        <f>"－"</f>
        <v>－</v>
      </c>
      <c r="X298" s="34">
        <f>20</f>
        <v>20</v>
      </c>
    </row>
    <row r="299" spans="1:24" x14ac:dyDescent="0.15">
      <c r="A299" s="25" t="s">
        <v>1041</v>
      </c>
      <c r="B299" s="25" t="s">
        <v>995</v>
      </c>
      <c r="C299" s="25" t="s">
        <v>996</v>
      </c>
      <c r="D299" s="25" t="s">
        <v>997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750</f>
        <v>750</v>
      </c>
      <c r="L299" s="32" t="s">
        <v>904</v>
      </c>
      <c r="M299" s="31">
        <f>768.6</f>
        <v>768.6</v>
      </c>
      <c r="N299" s="32" t="s">
        <v>94</v>
      </c>
      <c r="O299" s="31">
        <f>743</f>
        <v>743</v>
      </c>
      <c r="P299" s="32" t="s">
        <v>912</v>
      </c>
      <c r="Q299" s="31">
        <f>759</f>
        <v>759</v>
      </c>
      <c r="R299" s="32" t="s">
        <v>934</v>
      </c>
      <c r="S299" s="33">
        <f>754.59</f>
        <v>754.59</v>
      </c>
      <c r="T299" s="30">
        <f>2129010</f>
        <v>2129010</v>
      </c>
      <c r="U299" s="30">
        <f>1992380</f>
        <v>1992380</v>
      </c>
      <c r="V299" s="30">
        <f>1613919976</f>
        <v>1613919976</v>
      </c>
      <c r="W299" s="30">
        <f>1510423278</f>
        <v>1510423278</v>
      </c>
      <c r="X299" s="34">
        <f>20</f>
        <v>20</v>
      </c>
    </row>
    <row r="300" spans="1:24" x14ac:dyDescent="0.15">
      <c r="A300" s="25" t="s">
        <v>1041</v>
      </c>
      <c r="B300" s="25" t="s">
        <v>999</v>
      </c>
      <c r="C300" s="25" t="s">
        <v>1000</v>
      </c>
      <c r="D300" s="25" t="s">
        <v>1001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738.5</f>
        <v>738.5</v>
      </c>
      <c r="L300" s="32" t="s">
        <v>904</v>
      </c>
      <c r="M300" s="31">
        <f>751.1</f>
        <v>751.1</v>
      </c>
      <c r="N300" s="32" t="s">
        <v>934</v>
      </c>
      <c r="O300" s="31">
        <f>729.3</f>
        <v>729.3</v>
      </c>
      <c r="P300" s="32" t="s">
        <v>912</v>
      </c>
      <c r="Q300" s="31">
        <f>751.1</f>
        <v>751.1</v>
      </c>
      <c r="R300" s="32" t="s">
        <v>934</v>
      </c>
      <c r="S300" s="33">
        <f>739.98</f>
        <v>739.98</v>
      </c>
      <c r="T300" s="30">
        <f>1500000</f>
        <v>1500000</v>
      </c>
      <c r="U300" s="30">
        <f>1498280</f>
        <v>1498280</v>
      </c>
      <c r="V300" s="30">
        <f>1112780873</f>
        <v>1112780873</v>
      </c>
      <c r="W300" s="30">
        <f>1111512683</f>
        <v>1111512683</v>
      </c>
      <c r="X300" s="34">
        <f>11</f>
        <v>11</v>
      </c>
    </row>
    <row r="301" spans="1:24" x14ac:dyDescent="0.15">
      <c r="A301" s="25" t="s">
        <v>1041</v>
      </c>
      <c r="B301" s="25" t="s">
        <v>1002</v>
      </c>
      <c r="C301" s="25" t="s">
        <v>1003</v>
      </c>
      <c r="D301" s="25" t="s">
        <v>1004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1008</f>
        <v>1008</v>
      </c>
      <c r="L301" s="32" t="s">
        <v>904</v>
      </c>
      <c r="M301" s="31">
        <f>1022</f>
        <v>1022</v>
      </c>
      <c r="N301" s="32" t="s">
        <v>820</v>
      </c>
      <c r="O301" s="31">
        <f>1002</f>
        <v>1002</v>
      </c>
      <c r="P301" s="32" t="s">
        <v>811</v>
      </c>
      <c r="Q301" s="31">
        <f>1019</f>
        <v>1019</v>
      </c>
      <c r="R301" s="32" t="s">
        <v>934</v>
      </c>
      <c r="S301" s="33">
        <f>1014.4</f>
        <v>1014.4</v>
      </c>
      <c r="T301" s="30">
        <f>62256</f>
        <v>62256</v>
      </c>
      <c r="U301" s="30" t="str">
        <f>"－"</f>
        <v>－</v>
      </c>
      <c r="V301" s="30">
        <f>62930005</f>
        <v>62930005</v>
      </c>
      <c r="W301" s="30" t="str">
        <f>"－"</f>
        <v>－</v>
      </c>
      <c r="X301" s="34">
        <f>20</f>
        <v>20</v>
      </c>
    </row>
    <row r="302" spans="1:24" x14ac:dyDescent="0.15">
      <c r="A302" s="25" t="s">
        <v>1041</v>
      </c>
      <c r="B302" s="25" t="s">
        <v>1015</v>
      </c>
      <c r="C302" s="25" t="s">
        <v>1016</v>
      </c>
      <c r="D302" s="25" t="s">
        <v>1017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2031</f>
        <v>2031</v>
      </c>
      <c r="L302" s="32" t="s">
        <v>904</v>
      </c>
      <c r="M302" s="31">
        <f>2268</f>
        <v>2268</v>
      </c>
      <c r="N302" s="32" t="s">
        <v>915</v>
      </c>
      <c r="O302" s="31">
        <f>2005</f>
        <v>2005</v>
      </c>
      <c r="P302" s="32" t="s">
        <v>811</v>
      </c>
      <c r="Q302" s="31">
        <f>2199</f>
        <v>2199</v>
      </c>
      <c r="R302" s="32" t="s">
        <v>934</v>
      </c>
      <c r="S302" s="33">
        <f>2149.71</f>
        <v>2149.71</v>
      </c>
      <c r="T302" s="30">
        <f>9850</f>
        <v>9850</v>
      </c>
      <c r="U302" s="30" t="str">
        <f>"－"</f>
        <v>－</v>
      </c>
      <c r="V302" s="30">
        <f>21490840</f>
        <v>21490840</v>
      </c>
      <c r="W302" s="30" t="str">
        <f>"－"</f>
        <v>－</v>
      </c>
      <c r="X302" s="34">
        <f>17</f>
        <v>17</v>
      </c>
    </row>
    <row r="303" spans="1:24" x14ac:dyDescent="0.15">
      <c r="A303" s="25" t="s">
        <v>1041</v>
      </c>
      <c r="B303" s="25" t="s">
        <v>1019</v>
      </c>
      <c r="C303" s="25" t="s">
        <v>1020</v>
      </c>
      <c r="D303" s="25" t="s">
        <v>1021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2036</f>
        <v>2036</v>
      </c>
      <c r="L303" s="32" t="s">
        <v>904</v>
      </c>
      <c r="M303" s="31">
        <f>2280</f>
        <v>2280</v>
      </c>
      <c r="N303" s="32" t="s">
        <v>906</v>
      </c>
      <c r="O303" s="31">
        <f>2036</f>
        <v>2036</v>
      </c>
      <c r="P303" s="32" t="s">
        <v>904</v>
      </c>
      <c r="Q303" s="31">
        <f>2205.5</f>
        <v>2205.5</v>
      </c>
      <c r="R303" s="32" t="s">
        <v>934</v>
      </c>
      <c r="S303" s="33">
        <f>2161.88</f>
        <v>2161.88</v>
      </c>
      <c r="T303" s="30">
        <f>8930</f>
        <v>8930</v>
      </c>
      <c r="U303" s="30" t="str">
        <f>"－"</f>
        <v>－</v>
      </c>
      <c r="V303" s="30">
        <f>19488155</f>
        <v>19488155</v>
      </c>
      <c r="W303" s="30" t="str">
        <f>"－"</f>
        <v>－</v>
      </c>
      <c r="X303" s="34">
        <f>17</f>
        <v>17</v>
      </c>
    </row>
    <row r="304" spans="1:24" x14ac:dyDescent="0.15">
      <c r="A304" s="25" t="s">
        <v>1041</v>
      </c>
      <c r="B304" s="25" t="s">
        <v>1007</v>
      </c>
      <c r="C304" s="25" t="s">
        <v>1008</v>
      </c>
      <c r="D304" s="25" t="s">
        <v>1009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4938</f>
        <v>4938</v>
      </c>
      <c r="L304" s="32" t="s">
        <v>909</v>
      </c>
      <c r="M304" s="31">
        <f>4985</f>
        <v>4985</v>
      </c>
      <c r="N304" s="32" t="s">
        <v>815</v>
      </c>
      <c r="O304" s="31">
        <f>4852</f>
        <v>4852</v>
      </c>
      <c r="P304" s="32" t="s">
        <v>811</v>
      </c>
      <c r="Q304" s="31">
        <f>4907</f>
        <v>4907</v>
      </c>
      <c r="R304" s="32" t="s">
        <v>936</v>
      </c>
      <c r="S304" s="33">
        <f>4929.29</f>
        <v>4929.29</v>
      </c>
      <c r="T304" s="30">
        <f>1570</f>
        <v>1570</v>
      </c>
      <c r="U304" s="30" t="str">
        <f>"－"</f>
        <v>－</v>
      </c>
      <c r="V304" s="30">
        <f>7750130</f>
        <v>7750130</v>
      </c>
      <c r="W304" s="30" t="str">
        <f>"－"</f>
        <v>－</v>
      </c>
      <c r="X304" s="34">
        <f>7</f>
        <v>7</v>
      </c>
    </row>
    <row r="305" spans="1:24" x14ac:dyDescent="0.15">
      <c r="A305" s="25" t="s">
        <v>1041</v>
      </c>
      <c r="B305" s="25" t="s">
        <v>1011</v>
      </c>
      <c r="C305" s="25" t="s">
        <v>1012</v>
      </c>
      <c r="D305" s="25" t="s">
        <v>1013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4489</f>
        <v>4489</v>
      </c>
      <c r="L305" s="32" t="s">
        <v>912</v>
      </c>
      <c r="M305" s="31">
        <f>4580</f>
        <v>4580</v>
      </c>
      <c r="N305" s="32" t="s">
        <v>906</v>
      </c>
      <c r="O305" s="31">
        <f>4489</f>
        <v>4489</v>
      </c>
      <c r="P305" s="32" t="s">
        <v>912</v>
      </c>
      <c r="Q305" s="31">
        <f>4580</f>
        <v>4580</v>
      </c>
      <c r="R305" s="32" t="s">
        <v>906</v>
      </c>
      <c r="S305" s="33">
        <f>4528.33</f>
        <v>4528.33</v>
      </c>
      <c r="T305" s="30">
        <f>420030</f>
        <v>420030</v>
      </c>
      <c r="U305" s="30">
        <f>420000</f>
        <v>420000</v>
      </c>
      <c r="V305" s="30">
        <f>1936556905</f>
        <v>1936556905</v>
      </c>
      <c r="W305" s="30">
        <f>1936421055</f>
        <v>1936421055</v>
      </c>
      <c r="X305" s="34">
        <f>3</f>
        <v>3</v>
      </c>
    </row>
    <row r="306" spans="1:24" x14ac:dyDescent="0.15">
      <c r="A306" s="25" t="s">
        <v>1041</v>
      </c>
      <c r="B306" s="25" t="s">
        <v>1022</v>
      </c>
      <c r="C306" s="25" t="s">
        <v>1023</v>
      </c>
      <c r="D306" s="25" t="s">
        <v>1024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1921</f>
        <v>1921</v>
      </c>
      <c r="L306" s="32" t="s">
        <v>904</v>
      </c>
      <c r="M306" s="31">
        <f>1984.5</f>
        <v>1984.5</v>
      </c>
      <c r="N306" s="32" t="s">
        <v>815</v>
      </c>
      <c r="O306" s="31">
        <f>1882</f>
        <v>1882</v>
      </c>
      <c r="P306" s="32" t="s">
        <v>811</v>
      </c>
      <c r="Q306" s="31">
        <f>1959.5</f>
        <v>1959.5</v>
      </c>
      <c r="R306" s="32" t="s">
        <v>934</v>
      </c>
      <c r="S306" s="33">
        <f>1934.31</f>
        <v>1934.31</v>
      </c>
      <c r="T306" s="30">
        <f>61500</f>
        <v>61500</v>
      </c>
      <c r="U306" s="30" t="str">
        <f t="shared" ref="U306:U313" si="14">"－"</f>
        <v>－</v>
      </c>
      <c r="V306" s="30">
        <f>117177760</f>
        <v>117177760</v>
      </c>
      <c r="W306" s="30" t="str">
        <f t="shared" ref="W306:W313" si="15">"－"</f>
        <v>－</v>
      </c>
      <c r="X306" s="34">
        <f>16</f>
        <v>16</v>
      </c>
    </row>
    <row r="307" spans="1:24" x14ac:dyDescent="0.15">
      <c r="A307" s="25" t="s">
        <v>1041</v>
      </c>
      <c r="B307" s="25" t="s">
        <v>1026</v>
      </c>
      <c r="C307" s="25" t="s">
        <v>1027</v>
      </c>
      <c r="D307" s="25" t="s">
        <v>1028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</v>
      </c>
      <c r="K307" s="31">
        <f>1092</f>
        <v>1092</v>
      </c>
      <c r="L307" s="32" t="s">
        <v>904</v>
      </c>
      <c r="M307" s="31">
        <f>1122</f>
        <v>1122</v>
      </c>
      <c r="N307" s="32" t="s">
        <v>821</v>
      </c>
      <c r="O307" s="31">
        <f>1050</f>
        <v>1050</v>
      </c>
      <c r="P307" s="32" t="s">
        <v>811</v>
      </c>
      <c r="Q307" s="31">
        <f>1070</f>
        <v>1070</v>
      </c>
      <c r="R307" s="32" t="s">
        <v>934</v>
      </c>
      <c r="S307" s="33">
        <f>1075.95</f>
        <v>1075.95</v>
      </c>
      <c r="T307" s="30">
        <f>91803</f>
        <v>91803</v>
      </c>
      <c r="U307" s="30" t="str">
        <f t="shared" si="14"/>
        <v>－</v>
      </c>
      <c r="V307" s="30">
        <f>99586747</f>
        <v>99586747</v>
      </c>
      <c r="W307" s="30" t="str">
        <f t="shared" si="15"/>
        <v>－</v>
      </c>
      <c r="X307" s="34">
        <f>20</f>
        <v>20</v>
      </c>
    </row>
    <row r="308" spans="1:24" x14ac:dyDescent="0.15">
      <c r="A308" s="25" t="s">
        <v>1041</v>
      </c>
      <c r="B308" s="25" t="s">
        <v>1030</v>
      </c>
      <c r="C308" s="25" t="s">
        <v>1031</v>
      </c>
      <c r="D308" s="25" t="s">
        <v>1032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1041</f>
        <v>1041</v>
      </c>
      <c r="L308" s="32" t="s">
        <v>904</v>
      </c>
      <c r="M308" s="31">
        <f>1042</f>
        <v>1042</v>
      </c>
      <c r="N308" s="32" t="s">
        <v>904</v>
      </c>
      <c r="O308" s="31">
        <f>976</f>
        <v>976</v>
      </c>
      <c r="P308" s="32" t="s">
        <v>695</v>
      </c>
      <c r="Q308" s="31">
        <f>976</f>
        <v>976</v>
      </c>
      <c r="R308" s="32" t="s">
        <v>934</v>
      </c>
      <c r="S308" s="33">
        <f>998.4</f>
        <v>998.4</v>
      </c>
      <c r="T308" s="30">
        <f>820987</f>
        <v>820987</v>
      </c>
      <c r="U308" s="30" t="str">
        <f t="shared" si="14"/>
        <v>－</v>
      </c>
      <c r="V308" s="30">
        <f>820520872</f>
        <v>820520872</v>
      </c>
      <c r="W308" s="30" t="str">
        <f t="shared" si="15"/>
        <v>－</v>
      </c>
      <c r="X308" s="34">
        <f>20</f>
        <v>20</v>
      </c>
    </row>
    <row r="309" spans="1:24" x14ac:dyDescent="0.15">
      <c r="A309" s="25" t="s">
        <v>1041</v>
      </c>
      <c r="B309" s="25" t="s">
        <v>1033</v>
      </c>
      <c r="C309" s="25" t="s">
        <v>1034</v>
      </c>
      <c r="D309" s="25" t="s">
        <v>1035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980</f>
        <v>980</v>
      </c>
      <c r="L309" s="32" t="s">
        <v>904</v>
      </c>
      <c r="M309" s="31">
        <f>1032</f>
        <v>1032</v>
      </c>
      <c r="N309" s="32" t="s">
        <v>820</v>
      </c>
      <c r="O309" s="31">
        <f>955</f>
        <v>955</v>
      </c>
      <c r="P309" s="32" t="s">
        <v>934</v>
      </c>
      <c r="Q309" s="31">
        <f>956</f>
        <v>956</v>
      </c>
      <c r="R309" s="32" t="s">
        <v>934</v>
      </c>
      <c r="S309" s="33">
        <f>983.05</f>
        <v>983.05</v>
      </c>
      <c r="T309" s="30">
        <f>962361</f>
        <v>962361</v>
      </c>
      <c r="U309" s="30" t="str">
        <f t="shared" si="14"/>
        <v>－</v>
      </c>
      <c r="V309" s="30">
        <f>943281812</f>
        <v>943281812</v>
      </c>
      <c r="W309" s="30" t="str">
        <f t="shared" si="15"/>
        <v>－</v>
      </c>
      <c r="X309" s="34">
        <f>20</f>
        <v>20</v>
      </c>
    </row>
    <row r="310" spans="1:24" x14ac:dyDescent="0.15">
      <c r="A310" s="25" t="s">
        <v>1041</v>
      </c>
      <c r="B310" s="25" t="s">
        <v>1043</v>
      </c>
      <c r="C310" s="25" t="s">
        <v>1044</v>
      </c>
      <c r="D310" s="25" t="s">
        <v>1045</v>
      </c>
      <c r="E310" s="26" t="s">
        <v>808</v>
      </c>
      <c r="F310" s="27" t="s">
        <v>809</v>
      </c>
      <c r="G310" s="28" t="s">
        <v>1046</v>
      </c>
      <c r="H310" s="29"/>
      <c r="I310" s="29" t="s">
        <v>46</v>
      </c>
      <c r="J310" s="30">
        <v>1</v>
      </c>
      <c r="K310" s="31">
        <f>1026</f>
        <v>1026</v>
      </c>
      <c r="L310" s="32" t="s">
        <v>912</v>
      </c>
      <c r="M310" s="31">
        <f>1036</f>
        <v>1036</v>
      </c>
      <c r="N310" s="32" t="s">
        <v>906</v>
      </c>
      <c r="O310" s="31">
        <f>967</f>
        <v>967</v>
      </c>
      <c r="P310" s="32" t="s">
        <v>934</v>
      </c>
      <c r="Q310" s="31">
        <f>975</f>
        <v>975</v>
      </c>
      <c r="R310" s="32" t="s">
        <v>934</v>
      </c>
      <c r="S310" s="33">
        <f>1006.38</f>
        <v>1006.38</v>
      </c>
      <c r="T310" s="30">
        <f>341820</f>
        <v>341820</v>
      </c>
      <c r="U310" s="30" t="str">
        <f t="shared" si="14"/>
        <v>－</v>
      </c>
      <c r="V310" s="30">
        <f>344998573</f>
        <v>344998573</v>
      </c>
      <c r="W310" s="30" t="str">
        <f t="shared" si="15"/>
        <v>－</v>
      </c>
      <c r="X310" s="34">
        <f>16</f>
        <v>16</v>
      </c>
    </row>
    <row r="311" spans="1:24" x14ac:dyDescent="0.15">
      <c r="A311" s="25" t="s">
        <v>1041</v>
      </c>
      <c r="B311" s="25" t="s">
        <v>1047</v>
      </c>
      <c r="C311" s="25" t="s">
        <v>1048</v>
      </c>
      <c r="D311" s="25" t="s">
        <v>1049</v>
      </c>
      <c r="E311" s="26" t="s">
        <v>808</v>
      </c>
      <c r="F311" s="27" t="s">
        <v>809</v>
      </c>
      <c r="G311" s="28" t="s">
        <v>1046</v>
      </c>
      <c r="H311" s="29"/>
      <c r="I311" s="29" t="s">
        <v>46</v>
      </c>
      <c r="J311" s="30">
        <v>1</v>
      </c>
      <c r="K311" s="31">
        <f>1005</f>
        <v>1005</v>
      </c>
      <c r="L311" s="32" t="s">
        <v>912</v>
      </c>
      <c r="M311" s="31">
        <f>1005</f>
        <v>1005</v>
      </c>
      <c r="N311" s="32" t="s">
        <v>912</v>
      </c>
      <c r="O311" s="31">
        <f>952</f>
        <v>952</v>
      </c>
      <c r="P311" s="32" t="s">
        <v>934</v>
      </c>
      <c r="Q311" s="31">
        <f>952</f>
        <v>952</v>
      </c>
      <c r="R311" s="32" t="s">
        <v>934</v>
      </c>
      <c r="S311" s="33">
        <f>969.69</f>
        <v>969.69</v>
      </c>
      <c r="T311" s="30">
        <f>340689</f>
        <v>340689</v>
      </c>
      <c r="U311" s="30" t="str">
        <f t="shared" si="14"/>
        <v>－</v>
      </c>
      <c r="V311" s="30">
        <f>332904200</f>
        <v>332904200</v>
      </c>
      <c r="W311" s="30" t="str">
        <f t="shared" si="15"/>
        <v>－</v>
      </c>
      <c r="X311" s="34">
        <f>16</f>
        <v>16</v>
      </c>
    </row>
    <row r="312" spans="1:24" x14ac:dyDescent="0.15">
      <c r="A312" s="25" t="s">
        <v>1041</v>
      </c>
      <c r="B312" s="25" t="s">
        <v>1050</v>
      </c>
      <c r="C312" s="25" t="s">
        <v>1051</v>
      </c>
      <c r="D312" s="25" t="s">
        <v>1052</v>
      </c>
      <c r="E312" s="26" t="s">
        <v>808</v>
      </c>
      <c r="F312" s="27" t="s">
        <v>809</v>
      </c>
      <c r="G312" s="28" t="s">
        <v>1053</v>
      </c>
      <c r="H312" s="29"/>
      <c r="I312" s="29" t="s">
        <v>46</v>
      </c>
      <c r="J312" s="30">
        <v>1</v>
      </c>
      <c r="K312" s="31">
        <f>20510</f>
        <v>20510</v>
      </c>
      <c r="L312" s="32" t="s">
        <v>906</v>
      </c>
      <c r="M312" s="31">
        <f>20585</f>
        <v>20585</v>
      </c>
      <c r="N312" s="32" t="s">
        <v>906</v>
      </c>
      <c r="O312" s="31">
        <f>19070</f>
        <v>19070</v>
      </c>
      <c r="P312" s="32" t="s">
        <v>934</v>
      </c>
      <c r="Q312" s="31">
        <f>19185</f>
        <v>19185</v>
      </c>
      <c r="R312" s="32" t="s">
        <v>934</v>
      </c>
      <c r="S312" s="33">
        <f>19878</f>
        <v>19878</v>
      </c>
      <c r="T312" s="30">
        <f>105107</f>
        <v>105107</v>
      </c>
      <c r="U312" s="30" t="str">
        <f t="shared" si="14"/>
        <v>－</v>
      </c>
      <c r="V312" s="30">
        <f>2095383365</f>
        <v>2095383365</v>
      </c>
      <c r="W312" s="30" t="str">
        <f t="shared" si="15"/>
        <v>－</v>
      </c>
      <c r="X312" s="34">
        <f>10</f>
        <v>10</v>
      </c>
    </row>
    <row r="313" spans="1:24" x14ac:dyDescent="0.15">
      <c r="A313" s="25" t="s">
        <v>1041</v>
      </c>
      <c r="B313" s="25" t="s">
        <v>1054</v>
      </c>
      <c r="C313" s="25" t="s">
        <v>1055</v>
      </c>
      <c r="D313" s="25" t="s">
        <v>1056</v>
      </c>
      <c r="E313" s="26" t="s">
        <v>808</v>
      </c>
      <c r="F313" s="27" t="s">
        <v>809</v>
      </c>
      <c r="G313" s="28" t="s">
        <v>1053</v>
      </c>
      <c r="H313" s="29"/>
      <c r="I313" s="29" t="s">
        <v>46</v>
      </c>
      <c r="J313" s="30">
        <v>1</v>
      </c>
      <c r="K313" s="31">
        <f>57810</f>
        <v>57810</v>
      </c>
      <c r="L313" s="32" t="s">
        <v>906</v>
      </c>
      <c r="M313" s="31">
        <f>61460</f>
        <v>61460</v>
      </c>
      <c r="N313" s="32" t="s">
        <v>934</v>
      </c>
      <c r="O313" s="31">
        <f>57310</f>
        <v>57310</v>
      </c>
      <c r="P313" s="32" t="s">
        <v>815</v>
      </c>
      <c r="Q313" s="31">
        <f>61170</f>
        <v>61170</v>
      </c>
      <c r="R313" s="32" t="s">
        <v>934</v>
      </c>
      <c r="S313" s="33">
        <f>59207</f>
        <v>59207</v>
      </c>
      <c r="T313" s="30">
        <f>13568</f>
        <v>13568</v>
      </c>
      <c r="U313" s="30" t="str">
        <f t="shared" si="14"/>
        <v>－</v>
      </c>
      <c r="V313" s="30">
        <f>806358300</f>
        <v>806358300</v>
      </c>
      <c r="W313" s="30" t="str">
        <f t="shared" si="15"/>
        <v>－</v>
      </c>
      <c r="X313" s="34">
        <f>10</f>
        <v>10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B819-C95E-4A40-937B-1397BC839CA0}">
  <sheetPr>
    <pageSetUpPr fitToPage="1"/>
  </sheetPr>
  <dimension ref="A1:X311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1036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1925.5</f>
        <v>1925.5</v>
      </c>
      <c r="L7" s="32" t="s">
        <v>907</v>
      </c>
      <c r="M7" s="31">
        <f>2035</f>
        <v>2035</v>
      </c>
      <c r="N7" s="32" t="s">
        <v>80</v>
      </c>
      <c r="O7" s="31">
        <f>1912.5</f>
        <v>1912.5</v>
      </c>
      <c r="P7" s="32" t="s">
        <v>907</v>
      </c>
      <c r="Q7" s="31">
        <f>2031.5</f>
        <v>2031.5</v>
      </c>
      <c r="R7" s="32" t="s">
        <v>818</v>
      </c>
      <c r="S7" s="33">
        <f>1996.3</f>
        <v>1996.3</v>
      </c>
      <c r="T7" s="30">
        <f>3833650</f>
        <v>3833650</v>
      </c>
      <c r="U7" s="30">
        <f>1088750</f>
        <v>1088750</v>
      </c>
      <c r="V7" s="30">
        <f>7683993682</f>
        <v>7683993682</v>
      </c>
      <c r="W7" s="30">
        <f>2201661032</f>
        <v>2201661032</v>
      </c>
      <c r="X7" s="34">
        <f>20</f>
        <v>20</v>
      </c>
    </row>
    <row r="8" spans="1:24" x14ac:dyDescent="0.15">
      <c r="A8" s="25" t="s">
        <v>1036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1905.5</f>
        <v>1905.5</v>
      </c>
      <c r="L8" s="32" t="s">
        <v>907</v>
      </c>
      <c r="M8" s="31">
        <f>2012</f>
        <v>2012</v>
      </c>
      <c r="N8" s="32" t="s">
        <v>80</v>
      </c>
      <c r="O8" s="31">
        <f>1892</f>
        <v>1892</v>
      </c>
      <c r="P8" s="32" t="s">
        <v>907</v>
      </c>
      <c r="Q8" s="31">
        <f>2007</f>
        <v>2007</v>
      </c>
      <c r="R8" s="32" t="s">
        <v>818</v>
      </c>
      <c r="S8" s="33">
        <f>1974.8</f>
        <v>1974.8</v>
      </c>
      <c r="T8" s="30">
        <f>34722750</f>
        <v>34722750</v>
      </c>
      <c r="U8" s="30">
        <f>1924020</f>
        <v>1924020</v>
      </c>
      <c r="V8" s="30">
        <f>68479457307</f>
        <v>68479457307</v>
      </c>
      <c r="W8" s="30">
        <f>3745634597</f>
        <v>3745634597</v>
      </c>
      <c r="X8" s="34">
        <f>20</f>
        <v>20</v>
      </c>
    </row>
    <row r="9" spans="1:24" x14ac:dyDescent="0.15">
      <c r="A9" s="25" t="s">
        <v>1036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1882</f>
        <v>1882</v>
      </c>
      <c r="L9" s="32" t="s">
        <v>907</v>
      </c>
      <c r="M9" s="31">
        <f>1989</f>
        <v>1989</v>
      </c>
      <c r="N9" s="32" t="s">
        <v>80</v>
      </c>
      <c r="O9" s="31">
        <f>1869</f>
        <v>1869</v>
      </c>
      <c r="P9" s="32" t="s">
        <v>907</v>
      </c>
      <c r="Q9" s="31">
        <f>1985.5</f>
        <v>1985.5</v>
      </c>
      <c r="R9" s="32" t="s">
        <v>818</v>
      </c>
      <c r="S9" s="33">
        <f>1951.18</f>
        <v>1951.18</v>
      </c>
      <c r="T9" s="30">
        <f>4009000</f>
        <v>4009000</v>
      </c>
      <c r="U9" s="30">
        <f>595700</f>
        <v>595700</v>
      </c>
      <c r="V9" s="30">
        <f>7844564060</f>
        <v>7844564060</v>
      </c>
      <c r="W9" s="30">
        <f>1175879610</f>
        <v>1175879610</v>
      </c>
      <c r="X9" s="34">
        <f>20</f>
        <v>20</v>
      </c>
    </row>
    <row r="10" spans="1:24" x14ac:dyDescent="0.15">
      <c r="A10" s="25" t="s">
        <v>1036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40000</f>
        <v>40000</v>
      </c>
      <c r="L10" s="32" t="s">
        <v>907</v>
      </c>
      <c r="M10" s="31">
        <f>42700</f>
        <v>42700</v>
      </c>
      <c r="N10" s="32" t="s">
        <v>80</v>
      </c>
      <c r="O10" s="31">
        <f>37150</f>
        <v>37150</v>
      </c>
      <c r="P10" s="32" t="s">
        <v>94</v>
      </c>
      <c r="Q10" s="31">
        <f>37800</f>
        <v>37800</v>
      </c>
      <c r="R10" s="32" t="s">
        <v>818</v>
      </c>
      <c r="S10" s="33">
        <f>39969.5</f>
        <v>39969.5</v>
      </c>
      <c r="T10" s="30">
        <f>4969</f>
        <v>4969</v>
      </c>
      <c r="U10" s="30" t="str">
        <f>"－"</f>
        <v>－</v>
      </c>
      <c r="V10" s="30">
        <f>194480850</f>
        <v>194480850</v>
      </c>
      <c r="W10" s="30" t="str">
        <f>"－"</f>
        <v>－</v>
      </c>
      <c r="X10" s="34">
        <f>20</f>
        <v>20</v>
      </c>
    </row>
    <row r="11" spans="1:24" x14ac:dyDescent="0.15">
      <c r="A11" s="25" t="s">
        <v>1036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868.4</f>
        <v>868.4</v>
      </c>
      <c r="L11" s="32" t="s">
        <v>907</v>
      </c>
      <c r="M11" s="31">
        <f>932.1</f>
        <v>932.1</v>
      </c>
      <c r="N11" s="32" t="s">
        <v>818</v>
      </c>
      <c r="O11" s="31">
        <f>865</f>
        <v>865</v>
      </c>
      <c r="P11" s="32" t="s">
        <v>907</v>
      </c>
      <c r="Q11" s="31">
        <f>926</f>
        <v>926</v>
      </c>
      <c r="R11" s="32" t="s">
        <v>818</v>
      </c>
      <c r="S11" s="33">
        <f>905.7</f>
        <v>905.7</v>
      </c>
      <c r="T11" s="30">
        <f>87270</f>
        <v>87270</v>
      </c>
      <c r="U11" s="30">
        <f>10</f>
        <v>10</v>
      </c>
      <c r="V11" s="30">
        <f>79151227</f>
        <v>79151227</v>
      </c>
      <c r="W11" s="30">
        <f>9870</f>
        <v>9870</v>
      </c>
      <c r="X11" s="34">
        <f>20</f>
        <v>20</v>
      </c>
    </row>
    <row r="12" spans="1:24" x14ac:dyDescent="0.15">
      <c r="A12" s="25" t="s">
        <v>1036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19605</f>
        <v>19605</v>
      </c>
      <c r="L12" s="32" t="s">
        <v>907</v>
      </c>
      <c r="M12" s="31">
        <f>20700</f>
        <v>20700</v>
      </c>
      <c r="N12" s="32" t="s">
        <v>70</v>
      </c>
      <c r="O12" s="31">
        <f>19400</f>
        <v>19400</v>
      </c>
      <c r="P12" s="32" t="s">
        <v>813</v>
      </c>
      <c r="Q12" s="31">
        <f>20145</f>
        <v>20145</v>
      </c>
      <c r="R12" s="32" t="s">
        <v>818</v>
      </c>
      <c r="S12" s="33">
        <f>20092.11</f>
        <v>20092.11</v>
      </c>
      <c r="T12" s="30">
        <f>583</f>
        <v>583</v>
      </c>
      <c r="U12" s="30" t="str">
        <f>"－"</f>
        <v>－</v>
      </c>
      <c r="V12" s="30">
        <f>11635070</f>
        <v>11635070</v>
      </c>
      <c r="W12" s="30" t="str">
        <f>"－"</f>
        <v>－</v>
      </c>
      <c r="X12" s="34">
        <f>19</f>
        <v>19</v>
      </c>
    </row>
    <row r="13" spans="1:24" x14ac:dyDescent="0.15">
      <c r="A13" s="25" t="s">
        <v>1036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2868</f>
        <v>2868</v>
      </c>
      <c r="L13" s="32" t="s">
        <v>907</v>
      </c>
      <c r="M13" s="31">
        <f>3355</f>
        <v>3355</v>
      </c>
      <c r="N13" s="32" t="s">
        <v>66</v>
      </c>
      <c r="O13" s="31">
        <f>2868</f>
        <v>2868</v>
      </c>
      <c r="P13" s="32" t="s">
        <v>907</v>
      </c>
      <c r="Q13" s="31">
        <f>3126</f>
        <v>3126</v>
      </c>
      <c r="R13" s="32" t="s">
        <v>818</v>
      </c>
      <c r="S13" s="33">
        <f>3117.11</f>
        <v>3117.11</v>
      </c>
      <c r="T13" s="30">
        <f>2340</f>
        <v>2340</v>
      </c>
      <c r="U13" s="30">
        <f>10</f>
        <v>10</v>
      </c>
      <c r="V13" s="30">
        <f>7280740</f>
        <v>7280740</v>
      </c>
      <c r="W13" s="30">
        <f>33550</f>
        <v>33550</v>
      </c>
      <c r="X13" s="34">
        <f>18</f>
        <v>18</v>
      </c>
    </row>
    <row r="14" spans="1:24" x14ac:dyDescent="0.15">
      <c r="A14" s="25" t="s">
        <v>1036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347.3</f>
        <v>347.3</v>
      </c>
      <c r="L14" s="32" t="s">
        <v>811</v>
      </c>
      <c r="M14" s="31">
        <f>352.8</f>
        <v>352.8</v>
      </c>
      <c r="N14" s="32" t="s">
        <v>814</v>
      </c>
      <c r="O14" s="31">
        <f>341.5</f>
        <v>341.5</v>
      </c>
      <c r="P14" s="32" t="s">
        <v>821</v>
      </c>
      <c r="Q14" s="31">
        <f>346.6</f>
        <v>346.6</v>
      </c>
      <c r="R14" s="32" t="s">
        <v>818</v>
      </c>
      <c r="S14" s="33">
        <f>347.04</f>
        <v>347.04</v>
      </c>
      <c r="T14" s="30">
        <f>24000</f>
        <v>24000</v>
      </c>
      <c r="U14" s="30">
        <f>2000</f>
        <v>2000</v>
      </c>
      <c r="V14" s="30">
        <f>8328800</f>
        <v>8328800</v>
      </c>
      <c r="W14" s="30">
        <f>700600</f>
        <v>700600</v>
      </c>
      <c r="X14" s="34">
        <f>9</f>
        <v>9</v>
      </c>
    </row>
    <row r="15" spans="1:24" x14ac:dyDescent="0.15">
      <c r="A15" s="25" t="s">
        <v>1036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26520</f>
        <v>26520</v>
      </c>
      <c r="L15" s="32" t="s">
        <v>907</v>
      </c>
      <c r="M15" s="31">
        <f>28420</f>
        <v>28420</v>
      </c>
      <c r="N15" s="32" t="s">
        <v>818</v>
      </c>
      <c r="O15" s="31">
        <f>26390</f>
        <v>26390</v>
      </c>
      <c r="P15" s="32" t="s">
        <v>907</v>
      </c>
      <c r="Q15" s="31">
        <f>28400</f>
        <v>28400</v>
      </c>
      <c r="R15" s="32" t="s">
        <v>818</v>
      </c>
      <c r="S15" s="33">
        <f>27793.5</f>
        <v>27793.5</v>
      </c>
      <c r="T15" s="30">
        <f>1065296</f>
        <v>1065296</v>
      </c>
      <c r="U15" s="30">
        <f>183565</f>
        <v>183565</v>
      </c>
      <c r="V15" s="30">
        <f>29630488223</f>
        <v>29630488223</v>
      </c>
      <c r="W15" s="30">
        <f>5103809628</f>
        <v>5103809628</v>
      </c>
      <c r="X15" s="34">
        <f>20</f>
        <v>20</v>
      </c>
    </row>
    <row r="16" spans="1:24" x14ac:dyDescent="0.15">
      <c r="A16" s="25" t="s">
        <v>1036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26600</f>
        <v>26600</v>
      </c>
      <c r="L16" s="32" t="s">
        <v>907</v>
      </c>
      <c r="M16" s="31">
        <f>28495</f>
        <v>28495</v>
      </c>
      <c r="N16" s="32" t="s">
        <v>818</v>
      </c>
      <c r="O16" s="31">
        <f>26465</f>
        <v>26465</v>
      </c>
      <c r="P16" s="32" t="s">
        <v>907</v>
      </c>
      <c r="Q16" s="31">
        <f>28485</f>
        <v>28485</v>
      </c>
      <c r="R16" s="32" t="s">
        <v>818</v>
      </c>
      <c r="S16" s="33">
        <f>27875.75</f>
        <v>27875.75</v>
      </c>
      <c r="T16" s="30">
        <f>5132135</f>
        <v>5132135</v>
      </c>
      <c r="U16" s="30">
        <f>458803</f>
        <v>458803</v>
      </c>
      <c r="V16" s="30">
        <f>142795075024</f>
        <v>142795075024</v>
      </c>
      <c r="W16" s="30">
        <f>12747609254</f>
        <v>12747609254</v>
      </c>
      <c r="X16" s="34">
        <f>20</f>
        <v>20</v>
      </c>
    </row>
    <row r="17" spans="1:24" x14ac:dyDescent="0.15">
      <c r="A17" s="25" t="s">
        <v>1036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7670</f>
        <v>7670</v>
      </c>
      <c r="L17" s="32" t="s">
        <v>907</v>
      </c>
      <c r="M17" s="31">
        <f>8160</f>
        <v>8160</v>
      </c>
      <c r="N17" s="32" t="s">
        <v>80</v>
      </c>
      <c r="O17" s="31">
        <f>7106</f>
        <v>7106</v>
      </c>
      <c r="P17" s="32" t="s">
        <v>818</v>
      </c>
      <c r="Q17" s="31">
        <f>7135</f>
        <v>7135</v>
      </c>
      <c r="R17" s="32" t="s">
        <v>818</v>
      </c>
      <c r="S17" s="33">
        <f>7688</f>
        <v>7688</v>
      </c>
      <c r="T17" s="30">
        <f>8120</f>
        <v>8120</v>
      </c>
      <c r="U17" s="30" t="str">
        <f>"－"</f>
        <v>－</v>
      </c>
      <c r="V17" s="30">
        <f>61872980</f>
        <v>61872980</v>
      </c>
      <c r="W17" s="30" t="str">
        <f>"－"</f>
        <v>－</v>
      </c>
      <c r="X17" s="34">
        <f>20</f>
        <v>20</v>
      </c>
    </row>
    <row r="18" spans="1:24" x14ac:dyDescent="0.15">
      <c r="A18" s="25" t="s">
        <v>1036</v>
      </c>
      <c r="B18" s="25" t="s">
        <v>84</v>
      </c>
      <c r="C18" s="25" t="s">
        <v>980</v>
      </c>
      <c r="D18" s="25" t="s">
        <v>981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x14ac:dyDescent="0.15">
      <c r="A19" s="25" t="s">
        <v>1036</v>
      </c>
      <c r="B19" s="25" t="s">
        <v>88</v>
      </c>
      <c r="C19" s="25" t="s">
        <v>89</v>
      </c>
      <c r="D19" s="25" t="s">
        <v>90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190.1</f>
        <v>190.1</v>
      </c>
      <c r="L19" s="32" t="s">
        <v>907</v>
      </c>
      <c r="M19" s="31">
        <f>214</f>
        <v>214</v>
      </c>
      <c r="N19" s="32" t="s">
        <v>811</v>
      </c>
      <c r="O19" s="31">
        <f>190</f>
        <v>190</v>
      </c>
      <c r="P19" s="32" t="s">
        <v>907</v>
      </c>
      <c r="Q19" s="31">
        <f>210</f>
        <v>210</v>
      </c>
      <c r="R19" s="32" t="s">
        <v>818</v>
      </c>
      <c r="S19" s="33">
        <f>205.67</f>
        <v>205.67</v>
      </c>
      <c r="T19" s="30">
        <f>578700</f>
        <v>578700</v>
      </c>
      <c r="U19" s="30">
        <f>300</f>
        <v>300</v>
      </c>
      <c r="V19" s="30">
        <f>119885270</f>
        <v>119885270</v>
      </c>
      <c r="W19" s="30">
        <f>61800</f>
        <v>61800</v>
      </c>
      <c r="X19" s="34">
        <f>20</f>
        <v>20</v>
      </c>
    </row>
    <row r="20" spans="1:24" x14ac:dyDescent="0.15">
      <c r="A20" s="25" t="s">
        <v>1036</v>
      </c>
      <c r="B20" s="25" t="s">
        <v>91</v>
      </c>
      <c r="C20" s="25" t="s">
        <v>92</v>
      </c>
      <c r="D20" s="25" t="s">
        <v>93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22450</f>
        <v>22450</v>
      </c>
      <c r="L20" s="32" t="s">
        <v>907</v>
      </c>
      <c r="M20" s="31">
        <f>23205</f>
        <v>23205</v>
      </c>
      <c r="N20" s="32" t="s">
        <v>80</v>
      </c>
      <c r="O20" s="31">
        <f>22415</f>
        <v>22415</v>
      </c>
      <c r="P20" s="32" t="s">
        <v>907</v>
      </c>
      <c r="Q20" s="31">
        <f>22600</f>
        <v>22600</v>
      </c>
      <c r="R20" s="32" t="s">
        <v>818</v>
      </c>
      <c r="S20" s="33">
        <f>22829.25</f>
        <v>22829.25</v>
      </c>
      <c r="T20" s="30">
        <f>133407</f>
        <v>133407</v>
      </c>
      <c r="U20" s="30">
        <f>24</f>
        <v>24</v>
      </c>
      <c r="V20" s="30">
        <f>3040533255</f>
        <v>3040533255</v>
      </c>
      <c r="W20" s="30">
        <f>570600</f>
        <v>570600</v>
      </c>
      <c r="X20" s="34">
        <f>20</f>
        <v>20</v>
      </c>
    </row>
    <row r="21" spans="1:24" x14ac:dyDescent="0.15">
      <c r="A21" s="25" t="s">
        <v>1036</v>
      </c>
      <c r="B21" s="25" t="s">
        <v>95</v>
      </c>
      <c r="C21" s="25" t="s">
        <v>96</v>
      </c>
      <c r="D21" s="25" t="s">
        <v>97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6030</f>
        <v>6030</v>
      </c>
      <c r="L21" s="32" t="s">
        <v>907</v>
      </c>
      <c r="M21" s="31">
        <f>6231</f>
        <v>6231</v>
      </c>
      <c r="N21" s="32" t="s">
        <v>80</v>
      </c>
      <c r="O21" s="31">
        <f>6019</f>
        <v>6019</v>
      </c>
      <c r="P21" s="32" t="s">
        <v>907</v>
      </c>
      <c r="Q21" s="31">
        <f>6060</f>
        <v>6060</v>
      </c>
      <c r="R21" s="32" t="s">
        <v>818</v>
      </c>
      <c r="S21" s="33">
        <f>6124.35</f>
        <v>6124.35</v>
      </c>
      <c r="T21" s="30">
        <f>76510</f>
        <v>76510</v>
      </c>
      <c r="U21" s="30">
        <f>80</f>
        <v>80</v>
      </c>
      <c r="V21" s="30">
        <f>469515660</f>
        <v>469515660</v>
      </c>
      <c r="W21" s="30">
        <f>492720</f>
        <v>492720</v>
      </c>
      <c r="X21" s="34">
        <f>20</f>
        <v>20</v>
      </c>
    </row>
    <row r="22" spans="1:24" x14ac:dyDescent="0.15">
      <c r="A22" s="25" t="s">
        <v>1036</v>
      </c>
      <c r="B22" s="25" t="s">
        <v>98</v>
      </c>
      <c r="C22" s="25" t="s">
        <v>99</v>
      </c>
      <c r="D22" s="25" t="s">
        <v>100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26740</f>
        <v>26740</v>
      </c>
      <c r="L22" s="32" t="s">
        <v>907</v>
      </c>
      <c r="M22" s="31">
        <f>28670</f>
        <v>28670</v>
      </c>
      <c r="N22" s="32" t="s">
        <v>818</v>
      </c>
      <c r="O22" s="31">
        <f>26625</f>
        <v>26625</v>
      </c>
      <c r="P22" s="32" t="s">
        <v>907</v>
      </c>
      <c r="Q22" s="31">
        <f>28645</f>
        <v>28645</v>
      </c>
      <c r="R22" s="32" t="s">
        <v>818</v>
      </c>
      <c r="S22" s="33">
        <f>28034</f>
        <v>28034</v>
      </c>
      <c r="T22" s="30">
        <f>547717</f>
        <v>547717</v>
      </c>
      <c r="U22" s="30">
        <f>207520</f>
        <v>207520</v>
      </c>
      <c r="V22" s="30">
        <f>15407094912</f>
        <v>15407094912</v>
      </c>
      <c r="W22" s="30">
        <f>5893847697</f>
        <v>5893847697</v>
      </c>
      <c r="X22" s="34">
        <f>20</f>
        <v>20</v>
      </c>
    </row>
    <row r="23" spans="1:24" x14ac:dyDescent="0.15">
      <c r="A23" s="25" t="s">
        <v>1036</v>
      </c>
      <c r="B23" s="25" t="s">
        <v>101</v>
      </c>
      <c r="C23" s="25" t="s">
        <v>102</v>
      </c>
      <c r="D23" s="25" t="s">
        <v>103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26630</f>
        <v>26630</v>
      </c>
      <c r="L23" s="32" t="s">
        <v>907</v>
      </c>
      <c r="M23" s="31">
        <f>28530</f>
        <v>28530</v>
      </c>
      <c r="N23" s="32" t="s">
        <v>818</v>
      </c>
      <c r="O23" s="31">
        <f>26515</f>
        <v>26515</v>
      </c>
      <c r="P23" s="32" t="s">
        <v>907</v>
      </c>
      <c r="Q23" s="31">
        <f>28515</f>
        <v>28515</v>
      </c>
      <c r="R23" s="32" t="s">
        <v>818</v>
      </c>
      <c r="S23" s="33">
        <f>27907.5</f>
        <v>27907.5</v>
      </c>
      <c r="T23" s="30">
        <f>964470</f>
        <v>964470</v>
      </c>
      <c r="U23" s="30">
        <f>91900</f>
        <v>91900</v>
      </c>
      <c r="V23" s="30">
        <f>26927171552</f>
        <v>26927171552</v>
      </c>
      <c r="W23" s="30">
        <f>2569565102</f>
        <v>2569565102</v>
      </c>
      <c r="X23" s="34">
        <f>20</f>
        <v>20</v>
      </c>
    </row>
    <row r="24" spans="1:24" x14ac:dyDescent="0.15">
      <c r="A24" s="25" t="s">
        <v>1036</v>
      </c>
      <c r="B24" s="25" t="s">
        <v>104</v>
      </c>
      <c r="C24" s="25" t="s">
        <v>105</v>
      </c>
      <c r="D24" s="25" t="s">
        <v>106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2102.5</f>
        <v>2102.5</v>
      </c>
      <c r="L24" s="32" t="s">
        <v>907</v>
      </c>
      <c r="M24" s="31">
        <f>2143</f>
        <v>2143</v>
      </c>
      <c r="N24" s="32" t="s">
        <v>810</v>
      </c>
      <c r="O24" s="31">
        <f>1996</f>
        <v>1996</v>
      </c>
      <c r="P24" s="32" t="s">
        <v>820</v>
      </c>
      <c r="Q24" s="31">
        <f>2127</f>
        <v>2127</v>
      </c>
      <c r="R24" s="32" t="s">
        <v>818</v>
      </c>
      <c r="S24" s="33">
        <f>2070.05</f>
        <v>2070.0500000000002</v>
      </c>
      <c r="T24" s="30">
        <f>11196420</f>
        <v>11196420</v>
      </c>
      <c r="U24" s="30">
        <f>2025120</f>
        <v>2025120</v>
      </c>
      <c r="V24" s="30">
        <f>23157053834</f>
        <v>23157053834</v>
      </c>
      <c r="W24" s="30">
        <f>4187040544</f>
        <v>4187040544</v>
      </c>
      <c r="X24" s="34">
        <f>20</f>
        <v>20</v>
      </c>
    </row>
    <row r="25" spans="1:24" x14ac:dyDescent="0.15">
      <c r="A25" s="25" t="s">
        <v>1036</v>
      </c>
      <c r="B25" s="25" t="s">
        <v>107</v>
      </c>
      <c r="C25" s="25" t="s">
        <v>108</v>
      </c>
      <c r="D25" s="25" t="s">
        <v>109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1973.5</f>
        <v>1973.5</v>
      </c>
      <c r="L25" s="32" t="s">
        <v>907</v>
      </c>
      <c r="M25" s="31">
        <f>2010.5</f>
        <v>2010.5</v>
      </c>
      <c r="N25" s="32" t="s">
        <v>818</v>
      </c>
      <c r="O25" s="31">
        <f>1875</f>
        <v>1875</v>
      </c>
      <c r="P25" s="32" t="s">
        <v>820</v>
      </c>
      <c r="Q25" s="31">
        <f>1997.5</f>
        <v>1997.5</v>
      </c>
      <c r="R25" s="32" t="s">
        <v>818</v>
      </c>
      <c r="S25" s="33">
        <f>1943.53</f>
        <v>1943.53</v>
      </c>
      <c r="T25" s="30">
        <f>1277300</f>
        <v>1277300</v>
      </c>
      <c r="U25" s="30">
        <f>394600</f>
        <v>394600</v>
      </c>
      <c r="V25" s="30">
        <f>2477996356</f>
        <v>2477996356</v>
      </c>
      <c r="W25" s="30">
        <f>773220006</f>
        <v>773220006</v>
      </c>
      <c r="X25" s="34">
        <f>20</f>
        <v>20</v>
      </c>
    </row>
    <row r="26" spans="1:24" x14ac:dyDescent="0.15">
      <c r="A26" s="25" t="s">
        <v>1036</v>
      </c>
      <c r="B26" s="25" t="s">
        <v>110</v>
      </c>
      <c r="C26" s="25" t="s">
        <v>111</v>
      </c>
      <c r="D26" s="25" t="s">
        <v>112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26780</f>
        <v>26780</v>
      </c>
      <c r="L26" s="32" t="s">
        <v>907</v>
      </c>
      <c r="M26" s="31">
        <f>28625</f>
        <v>28625</v>
      </c>
      <c r="N26" s="32" t="s">
        <v>818</v>
      </c>
      <c r="O26" s="31">
        <f>26640</f>
        <v>26640</v>
      </c>
      <c r="P26" s="32" t="s">
        <v>907</v>
      </c>
      <c r="Q26" s="31">
        <f>28605</f>
        <v>28605</v>
      </c>
      <c r="R26" s="32" t="s">
        <v>818</v>
      </c>
      <c r="S26" s="33">
        <f>28003.25</f>
        <v>28003.25</v>
      </c>
      <c r="T26" s="30">
        <f>709424</f>
        <v>709424</v>
      </c>
      <c r="U26" s="30">
        <f>296830</f>
        <v>296830</v>
      </c>
      <c r="V26" s="30">
        <f>19757362911</f>
        <v>19757362911</v>
      </c>
      <c r="W26" s="30">
        <f>8174693486</f>
        <v>8174693486</v>
      </c>
      <c r="X26" s="34">
        <f>20</f>
        <v>20</v>
      </c>
    </row>
    <row r="27" spans="1:24" x14ac:dyDescent="0.15">
      <c r="A27" s="25" t="s">
        <v>1036</v>
      </c>
      <c r="B27" s="25" t="s">
        <v>113</v>
      </c>
      <c r="C27" s="25" t="s">
        <v>114</v>
      </c>
      <c r="D27" s="25" t="s">
        <v>115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1905.5</f>
        <v>1905.5</v>
      </c>
      <c r="L27" s="32" t="s">
        <v>907</v>
      </c>
      <c r="M27" s="31">
        <f>2014.5</f>
        <v>2014.5</v>
      </c>
      <c r="N27" s="32" t="s">
        <v>80</v>
      </c>
      <c r="O27" s="31">
        <f>1893</f>
        <v>1893</v>
      </c>
      <c r="P27" s="32" t="s">
        <v>907</v>
      </c>
      <c r="Q27" s="31">
        <f>2011.5</f>
        <v>2011.5</v>
      </c>
      <c r="R27" s="32" t="s">
        <v>818</v>
      </c>
      <c r="S27" s="33">
        <f>1976.8</f>
        <v>1976.8</v>
      </c>
      <c r="T27" s="30">
        <f>1755340</f>
        <v>1755340</v>
      </c>
      <c r="U27" s="30">
        <f>218250</f>
        <v>218250</v>
      </c>
      <c r="V27" s="30">
        <f>3457326705</f>
        <v>3457326705</v>
      </c>
      <c r="W27" s="30">
        <f>431153955</f>
        <v>431153955</v>
      </c>
      <c r="X27" s="34">
        <f>20</f>
        <v>20</v>
      </c>
    </row>
    <row r="28" spans="1:24" x14ac:dyDescent="0.15">
      <c r="A28" s="25" t="s">
        <v>1036</v>
      </c>
      <c r="B28" s="25" t="s">
        <v>116</v>
      </c>
      <c r="C28" s="25" t="s">
        <v>117</v>
      </c>
      <c r="D28" s="25" t="s">
        <v>118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14435</f>
        <v>14435</v>
      </c>
      <c r="L28" s="32" t="s">
        <v>907</v>
      </c>
      <c r="M28" s="31">
        <f>14885</f>
        <v>14885</v>
      </c>
      <c r="N28" s="32" t="s">
        <v>814</v>
      </c>
      <c r="O28" s="31">
        <f>14435</f>
        <v>14435</v>
      </c>
      <c r="P28" s="32" t="s">
        <v>907</v>
      </c>
      <c r="Q28" s="31">
        <f>14665</f>
        <v>14665</v>
      </c>
      <c r="R28" s="32" t="s">
        <v>818</v>
      </c>
      <c r="S28" s="33">
        <f>14612.5</f>
        <v>14612.5</v>
      </c>
      <c r="T28" s="30">
        <f>379</f>
        <v>379</v>
      </c>
      <c r="U28" s="30" t="str">
        <f>"－"</f>
        <v>－</v>
      </c>
      <c r="V28" s="30">
        <f>5548650</f>
        <v>5548650</v>
      </c>
      <c r="W28" s="30" t="str">
        <f>"－"</f>
        <v>－</v>
      </c>
      <c r="X28" s="34">
        <f>18</f>
        <v>18</v>
      </c>
    </row>
    <row r="29" spans="1:24" x14ac:dyDescent="0.15">
      <c r="A29" s="25" t="s">
        <v>1036</v>
      </c>
      <c r="B29" s="25" t="s">
        <v>119</v>
      </c>
      <c r="C29" s="25" t="s">
        <v>120</v>
      </c>
      <c r="D29" s="25" t="s">
        <v>121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1054.5</f>
        <v>1054.5</v>
      </c>
      <c r="L29" s="32" t="s">
        <v>907</v>
      </c>
      <c r="M29" s="31">
        <f>1067.5</f>
        <v>1067.5</v>
      </c>
      <c r="N29" s="32" t="s">
        <v>907</v>
      </c>
      <c r="O29" s="31">
        <f>935.1</f>
        <v>935.1</v>
      </c>
      <c r="P29" s="32" t="s">
        <v>818</v>
      </c>
      <c r="Q29" s="31">
        <f>935.1</f>
        <v>935.1</v>
      </c>
      <c r="R29" s="32" t="s">
        <v>818</v>
      </c>
      <c r="S29" s="33">
        <f>974.02</f>
        <v>974.02</v>
      </c>
      <c r="T29" s="30">
        <f>8294590</f>
        <v>8294590</v>
      </c>
      <c r="U29" s="30" t="str">
        <f>"－"</f>
        <v>－</v>
      </c>
      <c r="V29" s="30">
        <f>8079853005</f>
        <v>8079853005</v>
      </c>
      <c r="W29" s="30" t="str">
        <f>"－"</f>
        <v>－</v>
      </c>
      <c r="X29" s="34">
        <f>20</f>
        <v>20</v>
      </c>
    </row>
    <row r="30" spans="1:24" x14ac:dyDescent="0.15">
      <c r="A30" s="25" t="s">
        <v>1036</v>
      </c>
      <c r="B30" s="25" t="s">
        <v>122</v>
      </c>
      <c r="C30" s="25" t="s">
        <v>123</v>
      </c>
      <c r="D30" s="25" t="s">
        <v>124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415</f>
        <v>415</v>
      </c>
      <c r="L30" s="32" t="s">
        <v>907</v>
      </c>
      <c r="M30" s="31">
        <f>419</f>
        <v>419</v>
      </c>
      <c r="N30" s="32" t="s">
        <v>907</v>
      </c>
      <c r="O30" s="31">
        <f>356</f>
        <v>356</v>
      </c>
      <c r="P30" s="32" t="s">
        <v>812</v>
      </c>
      <c r="Q30" s="31">
        <f>356</f>
        <v>356</v>
      </c>
      <c r="R30" s="32" t="s">
        <v>818</v>
      </c>
      <c r="S30" s="33">
        <f>374.3</f>
        <v>374.3</v>
      </c>
      <c r="T30" s="30">
        <f>1888993299</f>
        <v>1888993299</v>
      </c>
      <c r="U30" s="30">
        <f>6239252</f>
        <v>6239252</v>
      </c>
      <c r="V30" s="30">
        <f>709348693733</f>
        <v>709348693733</v>
      </c>
      <c r="W30" s="30">
        <f>2304768949</f>
        <v>2304768949</v>
      </c>
      <c r="X30" s="34">
        <f>20</f>
        <v>20</v>
      </c>
    </row>
    <row r="31" spans="1:24" x14ac:dyDescent="0.15">
      <c r="A31" s="25" t="s">
        <v>1036</v>
      </c>
      <c r="B31" s="25" t="s">
        <v>125</v>
      </c>
      <c r="C31" s="25" t="s">
        <v>126</v>
      </c>
      <c r="D31" s="25" t="s">
        <v>127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23165</f>
        <v>23165</v>
      </c>
      <c r="L31" s="32" t="s">
        <v>907</v>
      </c>
      <c r="M31" s="31">
        <f>26510</f>
        <v>26510</v>
      </c>
      <c r="N31" s="32" t="s">
        <v>818</v>
      </c>
      <c r="O31" s="31">
        <f>22970</f>
        <v>22970</v>
      </c>
      <c r="P31" s="32" t="s">
        <v>907</v>
      </c>
      <c r="Q31" s="31">
        <f>26500</f>
        <v>26500</v>
      </c>
      <c r="R31" s="32" t="s">
        <v>818</v>
      </c>
      <c r="S31" s="33">
        <f>25404.5</f>
        <v>25404.5</v>
      </c>
      <c r="T31" s="30">
        <f>603792</f>
        <v>603792</v>
      </c>
      <c r="U31" s="30" t="str">
        <f>"－"</f>
        <v>－</v>
      </c>
      <c r="V31" s="30">
        <f>15353309830</f>
        <v>15353309830</v>
      </c>
      <c r="W31" s="30" t="str">
        <f>"－"</f>
        <v>－</v>
      </c>
      <c r="X31" s="34">
        <f>20</f>
        <v>20</v>
      </c>
    </row>
    <row r="32" spans="1:24" x14ac:dyDescent="0.15">
      <c r="A32" s="25" t="s">
        <v>1036</v>
      </c>
      <c r="B32" s="25" t="s">
        <v>128</v>
      </c>
      <c r="C32" s="25" t="s">
        <v>129</v>
      </c>
      <c r="D32" s="25" t="s">
        <v>130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1012</f>
        <v>1012</v>
      </c>
      <c r="L32" s="32" t="s">
        <v>907</v>
      </c>
      <c r="M32" s="31">
        <f>1021</f>
        <v>1021</v>
      </c>
      <c r="N32" s="32" t="s">
        <v>907</v>
      </c>
      <c r="O32" s="31">
        <f>870.1</f>
        <v>870.1</v>
      </c>
      <c r="P32" s="32" t="s">
        <v>818</v>
      </c>
      <c r="Q32" s="31">
        <f>870.5</f>
        <v>870.5</v>
      </c>
      <c r="R32" s="32" t="s">
        <v>818</v>
      </c>
      <c r="S32" s="33">
        <f>914.54</f>
        <v>914.54</v>
      </c>
      <c r="T32" s="30">
        <f>262489650</f>
        <v>262489650</v>
      </c>
      <c r="U32" s="30">
        <f>1072750</f>
        <v>1072750</v>
      </c>
      <c r="V32" s="30">
        <f>240649984150</f>
        <v>240649984150</v>
      </c>
      <c r="W32" s="30">
        <f>997258185</f>
        <v>997258185</v>
      </c>
      <c r="X32" s="34">
        <f>20</f>
        <v>20</v>
      </c>
    </row>
    <row r="33" spans="1:24" x14ac:dyDescent="0.15">
      <c r="A33" s="25" t="s">
        <v>1036</v>
      </c>
      <c r="B33" s="25" t="s">
        <v>131</v>
      </c>
      <c r="C33" s="25" t="s">
        <v>132</v>
      </c>
      <c r="D33" s="25" t="s">
        <v>133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16855</f>
        <v>16855</v>
      </c>
      <c r="L33" s="32" t="s">
        <v>907</v>
      </c>
      <c r="M33" s="31">
        <f>17865</f>
        <v>17865</v>
      </c>
      <c r="N33" s="32" t="s">
        <v>80</v>
      </c>
      <c r="O33" s="31">
        <f>16780</f>
        <v>16780</v>
      </c>
      <c r="P33" s="32" t="s">
        <v>907</v>
      </c>
      <c r="Q33" s="31">
        <f>17765</f>
        <v>17765</v>
      </c>
      <c r="R33" s="32" t="s">
        <v>818</v>
      </c>
      <c r="S33" s="33">
        <f>17486.5</f>
        <v>17486.5</v>
      </c>
      <c r="T33" s="30">
        <f>6312</f>
        <v>6312</v>
      </c>
      <c r="U33" s="30">
        <f>2</f>
        <v>2</v>
      </c>
      <c r="V33" s="30">
        <f>109444070</f>
        <v>109444070</v>
      </c>
      <c r="W33" s="30">
        <f>34795</f>
        <v>34795</v>
      </c>
      <c r="X33" s="34">
        <f>20</f>
        <v>20</v>
      </c>
    </row>
    <row r="34" spans="1:24" x14ac:dyDescent="0.15">
      <c r="A34" s="25" t="s">
        <v>1036</v>
      </c>
      <c r="B34" s="25" t="s">
        <v>134</v>
      </c>
      <c r="C34" s="25" t="s">
        <v>135</v>
      </c>
      <c r="D34" s="25" t="s">
        <v>136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19335</f>
        <v>19335</v>
      </c>
      <c r="L34" s="32" t="s">
        <v>907</v>
      </c>
      <c r="M34" s="31">
        <f>22090</f>
        <v>22090</v>
      </c>
      <c r="N34" s="32" t="s">
        <v>812</v>
      </c>
      <c r="O34" s="31">
        <f>19135</f>
        <v>19135</v>
      </c>
      <c r="P34" s="32" t="s">
        <v>907</v>
      </c>
      <c r="Q34" s="31">
        <f>22080</f>
        <v>22080</v>
      </c>
      <c r="R34" s="32" t="s">
        <v>818</v>
      </c>
      <c r="S34" s="33">
        <f>21176.25</f>
        <v>21176.25</v>
      </c>
      <c r="T34" s="30">
        <f>1172610</f>
        <v>1172610</v>
      </c>
      <c r="U34" s="30" t="str">
        <f>"－"</f>
        <v>－</v>
      </c>
      <c r="V34" s="30">
        <f>24761861505</f>
        <v>24761861505</v>
      </c>
      <c r="W34" s="30" t="str">
        <f>"－"</f>
        <v>－</v>
      </c>
      <c r="X34" s="34">
        <f>20</f>
        <v>20</v>
      </c>
    </row>
    <row r="35" spans="1:24" x14ac:dyDescent="0.15">
      <c r="A35" s="25" t="s">
        <v>1036</v>
      </c>
      <c r="B35" s="25" t="s">
        <v>137</v>
      </c>
      <c r="C35" s="25" t="s">
        <v>138</v>
      </c>
      <c r="D35" s="25" t="s">
        <v>139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1080</f>
        <v>1080</v>
      </c>
      <c r="L35" s="32" t="s">
        <v>907</v>
      </c>
      <c r="M35" s="31">
        <f>1089</f>
        <v>1089</v>
      </c>
      <c r="N35" s="32" t="s">
        <v>907</v>
      </c>
      <c r="O35" s="31">
        <f>927</f>
        <v>927</v>
      </c>
      <c r="P35" s="32" t="s">
        <v>818</v>
      </c>
      <c r="Q35" s="31">
        <f>929</f>
        <v>929</v>
      </c>
      <c r="R35" s="32" t="s">
        <v>818</v>
      </c>
      <c r="S35" s="33">
        <f>974.65</f>
        <v>974.65</v>
      </c>
      <c r="T35" s="30">
        <f>34623751</f>
        <v>34623751</v>
      </c>
      <c r="U35" s="30">
        <f>81</f>
        <v>81</v>
      </c>
      <c r="V35" s="30">
        <f>33954751121</f>
        <v>33954751121</v>
      </c>
      <c r="W35" s="30">
        <f>77746</f>
        <v>77746</v>
      </c>
      <c r="X35" s="34">
        <f>20</f>
        <v>20</v>
      </c>
    </row>
    <row r="36" spans="1:24" x14ac:dyDescent="0.15">
      <c r="A36" s="25" t="s">
        <v>1036</v>
      </c>
      <c r="B36" s="25" t="s">
        <v>140</v>
      </c>
      <c r="C36" s="25" t="s">
        <v>141</v>
      </c>
      <c r="D36" s="25" t="s">
        <v>142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16690</f>
        <v>16690</v>
      </c>
      <c r="L36" s="32" t="s">
        <v>907</v>
      </c>
      <c r="M36" s="31">
        <f>18600</f>
        <v>18600</v>
      </c>
      <c r="N36" s="32" t="s">
        <v>80</v>
      </c>
      <c r="O36" s="31">
        <f>16470</f>
        <v>16470</v>
      </c>
      <c r="P36" s="32" t="s">
        <v>907</v>
      </c>
      <c r="Q36" s="31">
        <f>18515</f>
        <v>18515</v>
      </c>
      <c r="R36" s="32" t="s">
        <v>818</v>
      </c>
      <c r="S36" s="33">
        <f>17902.5</f>
        <v>17902.5</v>
      </c>
      <c r="T36" s="30">
        <f>144568</f>
        <v>144568</v>
      </c>
      <c r="U36" s="30">
        <f>2</f>
        <v>2</v>
      </c>
      <c r="V36" s="30">
        <f>2592604290</f>
        <v>2592604290</v>
      </c>
      <c r="W36" s="30">
        <f>36350</f>
        <v>36350</v>
      </c>
      <c r="X36" s="34">
        <f>20</f>
        <v>20</v>
      </c>
    </row>
    <row r="37" spans="1:24" x14ac:dyDescent="0.15">
      <c r="A37" s="25" t="s">
        <v>1036</v>
      </c>
      <c r="B37" s="25" t="s">
        <v>143</v>
      </c>
      <c r="C37" s="25" t="s">
        <v>144</v>
      </c>
      <c r="D37" s="25" t="s">
        <v>145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1527</f>
        <v>1527</v>
      </c>
      <c r="L37" s="32" t="s">
        <v>907</v>
      </c>
      <c r="M37" s="31">
        <f>1546</f>
        <v>1546</v>
      </c>
      <c r="N37" s="32" t="s">
        <v>907</v>
      </c>
      <c r="O37" s="31">
        <f>1356</f>
        <v>1356</v>
      </c>
      <c r="P37" s="32" t="s">
        <v>818</v>
      </c>
      <c r="Q37" s="31">
        <f>1356</f>
        <v>1356</v>
      </c>
      <c r="R37" s="32" t="s">
        <v>818</v>
      </c>
      <c r="S37" s="33">
        <f>1410.1</f>
        <v>1410.1</v>
      </c>
      <c r="T37" s="30">
        <f>1119688</f>
        <v>1119688</v>
      </c>
      <c r="U37" s="30" t="str">
        <f>"－"</f>
        <v>－</v>
      </c>
      <c r="V37" s="30">
        <f>1584600709</f>
        <v>1584600709</v>
      </c>
      <c r="W37" s="30" t="str">
        <f>"－"</f>
        <v>－</v>
      </c>
      <c r="X37" s="34">
        <f>20</f>
        <v>20</v>
      </c>
    </row>
    <row r="38" spans="1:24" x14ac:dyDescent="0.15">
      <c r="A38" s="25" t="s">
        <v>1036</v>
      </c>
      <c r="B38" s="25" t="s">
        <v>146</v>
      </c>
      <c r="C38" s="25" t="s">
        <v>147</v>
      </c>
      <c r="D38" s="25" t="s">
        <v>148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25960</f>
        <v>25960</v>
      </c>
      <c r="L38" s="32" t="s">
        <v>907</v>
      </c>
      <c r="M38" s="31">
        <f>27800</f>
        <v>27800</v>
      </c>
      <c r="N38" s="32" t="s">
        <v>818</v>
      </c>
      <c r="O38" s="31">
        <f>25835</f>
        <v>25835</v>
      </c>
      <c r="P38" s="32" t="s">
        <v>907</v>
      </c>
      <c r="Q38" s="31">
        <f>27755</f>
        <v>27755</v>
      </c>
      <c r="R38" s="32" t="s">
        <v>818</v>
      </c>
      <c r="S38" s="33">
        <f>27197.75</f>
        <v>27197.75</v>
      </c>
      <c r="T38" s="30">
        <f>101223</f>
        <v>101223</v>
      </c>
      <c r="U38" s="30">
        <f>21103</f>
        <v>21103</v>
      </c>
      <c r="V38" s="30">
        <f>2725061692</f>
        <v>2725061692</v>
      </c>
      <c r="W38" s="30">
        <f>559147692</f>
        <v>559147692</v>
      </c>
      <c r="X38" s="34">
        <f>20</f>
        <v>20</v>
      </c>
    </row>
    <row r="39" spans="1:24" x14ac:dyDescent="0.15">
      <c r="A39" s="25" t="s">
        <v>1036</v>
      </c>
      <c r="B39" s="25" t="s">
        <v>149</v>
      </c>
      <c r="C39" s="25" t="s">
        <v>150</v>
      </c>
      <c r="D39" s="25" t="s">
        <v>151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4815</f>
        <v>4815</v>
      </c>
      <c r="L39" s="32" t="s">
        <v>907</v>
      </c>
      <c r="M39" s="31">
        <f>5400</f>
        <v>5400</v>
      </c>
      <c r="N39" s="32" t="s">
        <v>818</v>
      </c>
      <c r="O39" s="31">
        <f>4770</f>
        <v>4770</v>
      </c>
      <c r="P39" s="32" t="s">
        <v>907</v>
      </c>
      <c r="Q39" s="31">
        <f>5370</f>
        <v>5370</v>
      </c>
      <c r="R39" s="32" t="s">
        <v>818</v>
      </c>
      <c r="S39" s="33">
        <f>5102</f>
        <v>5102</v>
      </c>
      <c r="T39" s="30">
        <f>4601</f>
        <v>4601</v>
      </c>
      <c r="U39" s="30" t="str">
        <f t="shared" ref="U39:U48" si="0">"－"</f>
        <v>－</v>
      </c>
      <c r="V39" s="30">
        <f>23362045</f>
        <v>23362045</v>
      </c>
      <c r="W39" s="30" t="str">
        <f t="shared" ref="W39:W48" si="1">"－"</f>
        <v>－</v>
      </c>
      <c r="X39" s="34">
        <f>20</f>
        <v>20</v>
      </c>
    </row>
    <row r="40" spans="1:24" x14ac:dyDescent="0.15">
      <c r="A40" s="25" t="s">
        <v>1036</v>
      </c>
      <c r="B40" s="25" t="s">
        <v>152</v>
      </c>
      <c r="C40" s="25" t="s">
        <v>153</v>
      </c>
      <c r="D40" s="25" t="s">
        <v>154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9070</f>
        <v>9070</v>
      </c>
      <c r="L40" s="32" t="s">
        <v>907</v>
      </c>
      <c r="M40" s="31">
        <f>10000</f>
        <v>10000</v>
      </c>
      <c r="N40" s="32" t="s">
        <v>818</v>
      </c>
      <c r="O40" s="31">
        <f>8851</f>
        <v>8851</v>
      </c>
      <c r="P40" s="32" t="s">
        <v>907</v>
      </c>
      <c r="Q40" s="31">
        <f>9930</f>
        <v>9930</v>
      </c>
      <c r="R40" s="32" t="s">
        <v>818</v>
      </c>
      <c r="S40" s="33">
        <f>9527.4</f>
        <v>9527.4</v>
      </c>
      <c r="T40" s="30">
        <f>1850</f>
        <v>1850</v>
      </c>
      <c r="U40" s="30" t="str">
        <f t="shared" si="0"/>
        <v>－</v>
      </c>
      <c r="V40" s="30">
        <f>17480226</f>
        <v>17480226</v>
      </c>
      <c r="W40" s="30" t="str">
        <f t="shared" si="1"/>
        <v>－</v>
      </c>
      <c r="X40" s="34">
        <f>20</f>
        <v>20</v>
      </c>
    </row>
    <row r="41" spans="1:24" x14ac:dyDescent="0.15">
      <c r="A41" s="25" t="s">
        <v>1036</v>
      </c>
      <c r="B41" s="25" t="s">
        <v>155</v>
      </c>
      <c r="C41" s="25" t="s">
        <v>156</v>
      </c>
      <c r="D41" s="25" t="s">
        <v>157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16400</f>
        <v>16400</v>
      </c>
      <c r="L41" s="32" t="s">
        <v>907</v>
      </c>
      <c r="M41" s="31">
        <f>18110</f>
        <v>18110</v>
      </c>
      <c r="N41" s="32" t="s">
        <v>266</v>
      </c>
      <c r="O41" s="31">
        <f>16065</f>
        <v>16065</v>
      </c>
      <c r="P41" s="32" t="s">
        <v>813</v>
      </c>
      <c r="Q41" s="31">
        <f>18110</f>
        <v>18110</v>
      </c>
      <c r="R41" s="32" t="s">
        <v>266</v>
      </c>
      <c r="S41" s="33">
        <f>17063.18</f>
        <v>17063.18</v>
      </c>
      <c r="T41" s="30">
        <f>158</f>
        <v>158</v>
      </c>
      <c r="U41" s="30" t="str">
        <f t="shared" si="0"/>
        <v>－</v>
      </c>
      <c r="V41" s="30">
        <f>2669865</f>
        <v>2669865</v>
      </c>
      <c r="W41" s="30" t="str">
        <f t="shared" si="1"/>
        <v>－</v>
      </c>
      <c r="X41" s="34">
        <f>11</f>
        <v>11</v>
      </c>
    </row>
    <row r="42" spans="1:24" x14ac:dyDescent="0.15">
      <c r="A42" s="25" t="s">
        <v>1036</v>
      </c>
      <c r="B42" s="25" t="s">
        <v>158</v>
      </c>
      <c r="C42" s="25" t="s">
        <v>159</v>
      </c>
      <c r="D42" s="25" t="s">
        <v>160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13580</f>
        <v>13580</v>
      </c>
      <c r="L42" s="32" t="s">
        <v>907</v>
      </c>
      <c r="M42" s="31">
        <f>14740</f>
        <v>14740</v>
      </c>
      <c r="N42" s="32" t="s">
        <v>87</v>
      </c>
      <c r="O42" s="31">
        <f>13500</f>
        <v>13500</v>
      </c>
      <c r="P42" s="32" t="s">
        <v>907</v>
      </c>
      <c r="Q42" s="31">
        <f>14110</f>
        <v>14110</v>
      </c>
      <c r="R42" s="32" t="s">
        <v>66</v>
      </c>
      <c r="S42" s="33">
        <f>14036.67</f>
        <v>14036.67</v>
      </c>
      <c r="T42" s="30">
        <f>21</f>
        <v>21</v>
      </c>
      <c r="U42" s="30" t="str">
        <f t="shared" si="0"/>
        <v>－</v>
      </c>
      <c r="V42" s="30">
        <f>293315</f>
        <v>293315</v>
      </c>
      <c r="W42" s="30" t="str">
        <f t="shared" si="1"/>
        <v>－</v>
      </c>
      <c r="X42" s="34">
        <f>6</f>
        <v>6</v>
      </c>
    </row>
    <row r="43" spans="1:24" x14ac:dyDescent="0.15">
      <c r="A43" s="25" t="s">
        <v>1036</v>
      </c>
      <c r="B43" s="25" t="s">
        <v>161</v>
      </c>
      <c r="C43" s="25" t="s">
        <v>162</v>
      </c>
      <c r="D43" s="25" t="s">
        <v>163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10270</f>
        <v>10270</v>
      </c>
      <c r="L43" s="32" t="s">
        <v>907</v>
      </c>
      <c r="M43" s="31">
        <f>11170</f>
        <v>11170</v>
      </c>
      <c r="N43" s="32" t="s">
        <v>818</v>
      </c>
      <c r="O43" s="31">
        <f>10220</f>
        <v>10220</v>
      </c>
      <c r="P43" s="32" t="s">
        <v>907</v>
      </c>
      <c r="Q43" s="31">
        <f>11140</f>
        <v>11140</v>
      </c>
      <c r="R43" s="32" t="s">
        <v>818</v>
      </c>
      <c r="S43" s="33">
        <f>10730.25</f>
        <v>10730.25</v>
      </c>
      <c r="T43" s="30">
        <f>1489</f>
        <v>1489</v>
      </c>
      <c r="U43" s="30" t="str">
        <f t="shared" si="0"/>
        <v>－</v>
      </c>
      <c r="V43" s="30">
        <f>16041265</f>
        <v>16041265</v>
      </c>
      <c r="W43" s="30" t="str">
        <f t="shared" si="1"/>
        <v>－</v>
      </c>
      <c r="X43" s="34">
        <f>20</f>
        <v>20</v>
      </c>
    </row>
    <row r="44" spans="1:24" x14ac:dyDescent="0.15">
      <c r="A44" s="25" t="s">
        <v>1036</v>
      </c>
      <c r="B44" s="25" t="s">
        <v>164</v>
      </c>
      <c r="C44" s="25" t="s">
        <v>165</v>
      </c>
      <c r="D44" s="25" t="s">
        <v>166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5470</f>
        <v>5470</v>
      </c>
      <c r="L44" s="32" t="s">
        <v>907</v>
      </c>
      <c r="M44" s="31">
        <f>5660</f>
        <v>5660</v>
      </c>
      <c r="N44" s="32" t="s">
        <v>80</v>
      </c>
      <c r="O44" s="31">
        <f>5280</f>
        <v>5280</v>
      </c>
      <c r="P44" s="32" t="s">
        <v>907</v>
      </c>
      <c r="Q44" s="31">
        <f>5540</f>
        <v>5540</v>
      </c>
      <c r="R44" s="32" t="s">
        <v>818</v>
      </c>
      <c r="S44" s="33">
        <f>5468.5</f>
        <v>5468.5</v>
      </c>
      <c r="T44" s="30">
        <f>1926</f>
        <v>1926</v>
      </c>
      <c r="U44" s="30" t="str">
        <f t="shared" si="0"/>
        <v>－</v>
      </c>
      <c r="V44" s="30">
        <f>10522450</f>
        <v>10522450</v>
      </c>
      <c r="W44" s="30" t="str">
        <f t="shared" si="1"/>
        <v>－</v>
      </c>
      <c r="X44" s="34">
        <f>20</f>
        <v>20</v>
      </c>
    </row>
    <row r="45" spans="1:24" x14ac:dyDescent="0.15">
      <c r="A45" s="25" t="s">
        <v>1036</v>
      </c>
      <c r="B45" s="25" t="s">
        <v>167</v>
      </c>
      <c r="C45" s="25" t="s">
        <v>168</v>
      </c>
      <c r="D45" s="25" t="s">
        <v>169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2931</f>
        <v>2931</v>
      </c>
      <c r="L45" s="32" t="s">
        <v>907</v>
      </c>
      <c r="M45" s="31">
        <f>3120</f>
        <v>3120</v>
      </c>
      <c r="N45" s="32" t="s">
        <v>818</v>
      </c>
      <c r="O45" s="31">
        <f>2871</f>
        <v>2871</v>
      </c>
      <c r="P45" s="32" t="s">
        <v>907</v>
      </c>
      <c r="Q45" s="31">
        <f>3115</f>
        <v>3115</v>
      </c>
      <c r="R45" s="32" t="s">
        <v>818</v>
      </c>
      <c r="S45" s="33">
        <f>2985.75</f>
        <v>2985.75</v>
      </c>
      <c r="T45" s="30">
        <f>3731</f>
        <v>3731</v>
      </c>
      <c r="U45" s="30" t="str">
        <f t="shared" si="0"/>
        <v>－</v>
      </c>
      <c r="V45" s="30">
        <f>11139143</f>
        <v>11139143</v>
      </c>
      <c r="W45" s="30" t="str">
        <f t="shared" si="1"/>
        <v>－</v>
      </c>
      <c r="X45" s="34">
        <f>20</f>
        <v>20</v>
      </c>
    </row>
    <row r="46" spans="1:24" x14ac:dyDescent="0.15">
      <c r="A46" s="25" t="s">
        <v>1036</v>
      </c>
      <c r="B46" s="25" t="s">
        <v>170</v>
      </c>
      <c r="C46" s="25" t="s">
        <v>171</v>
      </c>
      <c r="D46" s="25" t="s">
        <v>172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2869</f>
        <v>2869</v>
      </c>
      <c r="L46" s="32" t="s">
        <v>907</v>
      </c>
      <c r="M46" s="31">
        <f>3075</f>
        <v>3075</v>
      </c>
      <c r="N46" s="32" t="s">
        <v>818</v>
      </c>
      <c r="O46" s="31">
        <f>2805</f>
        <v>2805</v>
      </c>
      <c r="P46" s="32" t="s">
        <v>56</v>
      </c>
      <c r="Q46" s="31">
        <f>3075</f>
        <v>3075</v>
      </c>
      <c r="R46" s="32" t="s">
        <v>818</v>
      </c>
      <c r="S46" s="33">
        <f>2951.7</f>
        <v>2951.7</v>
      </c>
      <c r="T46" s="30">
        <f>2206</f>
        <v>2206</v>
      </c>
      <c r="U46" s="30" t="str">
        <f t="shared" si="0"/>
        <v>－</v>
      </c>
      <c r="V46" s="30">
        <f>6489394</f>
        <v>6489394</v>
      </c>
      <c r="W46" s="30" t="str">
        <f t="shared" si="1"/>
        <v>－</v>
      </c>
      <c r="X46" s="34">
        <f>20</f>
        <v>20</v>
      </c>
    </row>
    <row r="47" spans="1:24" x14ac:dyDescent="0.15">
      <c r="A47" s="25" t="s">
        <v>1036</v>
      </c>
      <c r="B47" s="25" t="s">
        <v>173</v>
      </c>
      <c r="C47" s="25" t="s">
        <v>174</v>
      </c>
      <c r="D47" s="25" t="s">
        <v>175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51630</f>
        <v>51630</v>
      </c>
      <c r="L47" s="32" t="s">
        <v>907</v>
      </c>
      <c r="M47" s="31">
        <f>55280</f>
        <v>55280</v>
      </c>
      <c r="N47" s="32" t="s">
        <v>818</v>
      </c>
      <c r="O47" s="31">
        <f>50350</f>
        <v>50350</v>
      </c>
      <c r="P47" s="32" t="s">
        <v>907</v>
      </c>
      <c r="Q47" s="31">
        <f>55130</f>
        <v>55130</v>
      </c>
      <c r="R47" s="32" t="s">
        <v>818</v>
      </c>
      <c r="S47" s="33">
        <f>52918</f>
        <v>52918</v>
      </c>
      <c r="T47" s="30">
        <f>1124</f>
        <v>1124</v>
      </c>
      <c r="U47" s="30" t="str">
        <f t="shared" si="0"/>
        <v>－</v>
      </c>
      <c r="V47" s="30">
        <f>59269800</f>
        <v>59269800</v>
      </c>
      <c r="W47" s="30" t="str">
        <f t="shared" si="1"/>
        <v>－</v>
      </c>
      <c r="X47" s="34">
        <f>20</f>
        <v>20</v>
      </c>
    </row>
    <row r="48" spans="1:24" x14ac:dyDescent="0.15">
      <c r="A48" s="25" t="s">
        <v>1036</v>
      </c>
      <c r="B48" s="25" t="s">
        <v>176</v>
      </c>
      <c r="C48" s="25" t="s">
        <v>177</v>
      </c>
      <c r="D48" s="25" t="s">
        <v>178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37300</f>
        <v>37300</v>
      </c>
      <c r="L48" s="32" t="s">
        <v>80</v>
      </c>
      <c r="M48" s="31">
        <f>37780</f>
        <v>37780</v>
      </c>
      <c r="N48" s="32" t="s">
        <v>818</v>
      </c>
      <c r="O48" s="31">
        <f>36070</f>
        <v>36070</v>
      </c>
      <c r="P48" s="32" t="s">
        <v>813</v>
      </c>
      <c r="Q48" s="31">
        <f>37780</f>
        <v>37780</v>
      </c>
      <c r="R48" s="32" t="s">
        <v>818</v>
      </c>
      <c r="S48" s="33">
        <f>37120</f>
        <v>37120</v>
      </c>
      <c r="T48" s="30">
        <f>200</f>
        <v>200</v>
      </c>
      <c r="U48" s="30" t="str">
        <f t="shared" si="0"/>
        <v>－</v>
      </c>
      <c r="V48" s="30">
        <f>7362230</f>
        <v>7362230</v>
      </c>
      <c r="W48" s="30" t="str">
        <f t="shared" si="1"/>
        <v>－</v>
      </c>
      <c r="X48" s="34">
        <f>7</f>
        <v>7</v>
      </c>
    </row>
    <row r="49" spans="1:24" x14ac:dyDescent="0.15">
      <c r="A49" s="25" t="s">
        <v>1036</v>
      </c>
      <c r="B49" s="25" t="s">
        <v>179</v>
      </c>
      <c r="C49" s="25" t="s">
        <v>180</v>
      </c>
      <c r="D49" s="25" t="s">
        <v>181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26620</f>
        <v>26620</v>
      </c>
      <c r="L49" s="32" t="s">
        <v>907</v>
      </c>
      <c r="M49" s="31">
        <f>28000</f>
        <v>28000</v>
      </c>
      <c r="N49" s="32" t="s">
        <v>810</v>
      </c>
      <c r="O49" s="31">
        <f>26500</f>
        <v>26500</v>
      </c>
      <c r="P49" s="32" t="s">
        <v>56</v>
      </c>
      <c r="Q49" s="31">
        <f>27695</f>
        <v>27695</v>
      </c>
      <c r="R49" s="32" t="s">
        <v>818</v>
      </c>
      <c r="S49" s="33">
        <f>27236.67</f>
        <v>27236.67</v>
      </c>
      <c r="T49" s="30">
        <f>117546</f>
        <v>117546</v>
      </c>
      <c r="U49" s="30">
        <f>56000</f>
        <v>56000</v>
      </c>
      <c r="V49" s="30">
        <f>3189149780</f>
        <v>3189149780</v>
      </c>
      <c r="W49" s="30">
        <f>1490960800</f>
        <v>1490960800</v>
      </c>
      <c r="X49" s="34">
        <f>15</f>
        <v>15</v>
      </c>
    </row>
    <row r="50" spans="1:24" x14ac:dyDescent="0.15">
      <c r="A50" s="25" t="s">
        <v>1036</v>
      </c>
      <c r="B50" s="25" t="s">
        <v>182</v>
      </c>
      <c r="C50" s="25" t="s">
        <v>183</v>
      </c>
      <c r="D50" s="25" t="s">
        <v>184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1996</f>
        <v>1996</v>
      </c>
      <c r="L50" s="32" t="s">
        <v>907</v>
      </c>
      <c r="M50" s="31">
        <f>2030.5</f>
        <v>2030.5</v>
      </c>
      <c r="N50" s="32" t="s">
        <v>810</v>
      </c>
      <c r="O50" s="31">
        <f>1895</f>
        <v>1895</v>
      </c>
      <c r="P50" s="32" t="s">
        <v>815</v>
      </c>
      <c r="Q50" s="31">
        <f>2017.5</f>
        <v>2017.5</v>
      </c>
      <c r="R50" s="32" t="s">
        <v>818</v>
      </c>
      <c r="S50" s="33">
        <f>1961.48</f>
        <v>1961.48</v>
      </c>
      <c r="T50" s="30">
        <f>571880</f>
        <v>571880</v>
      </c>
      <c r="U50" s="30">
        <f>489430</f>
        <v>489430</v>
      </c>
      <c r="V50" s="30">
        <f>1135064879</f>
        <v>1135064879</v>
      </c>
      <c r="W50" s="30">
        <f>976002559</f>
        <v>976002559</v>
      </c>
      <c r="X50" s="34">
        <f>20</f>
        <v>20</v>
      </c>
    </row>
    <row r="51" spans="1:24" x14ac:dyDescent="0.15">
      <c r="A51" s="25" t="s">
        <v>1036</v>
      </c>
      <c r="B51" s="25" t="s">
        <v>185</v>
      </c>
      <c r="C51" s="25" t="s">
        <v>186</v>
      </c>
      <c r="D51" s="25" t="s">
        <v>187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1599</f>
        <v>1599</v>
      </c>
      <c r="L51" s="32" t="s">
        <v>907</v>
      </c>
      <c r="M51" s="31">
        <f>1656.5</f>
        <v>1656.5</v>
      </c>
      <c r="N51" s="32" t="s">
        <v>810</v>
      </c>
      <c r="O51" s="31">
        <f>1585</f>
        <v>1585</v>
      </c>
      <c r="P51" s="32" t="s">
        <v>907</v>
      </c>
      <c r="Q51" s="31">
        <f>1618.5</f>
        <v>1618.5</v>
      </c>
      <c r="R51" s="32" t="s">
        <v>818</v>
      </c>
      <c r="S51" s="33">
        <f>1617.76</f>
        <v>1617.76</v>
      </c>
      <c r="T51" s="30">
        <f>3360</f>
        <v>3360</v>
      </c>
      <c r="U51" s="30" t="str">
        <f>"－"</f>
        <v>－</v>
      </c>
      <c r="V51" s="30">
        <f>5471165</f>
        <v>5471165</v>
      </c>
      <c r="W51" s="30" t="str">
        <f>"－"</f>
        <v>－</v>
      </c>
      <c r="X51" s="34">
        <f>19</f>
        <v>19</v>
      </c>
    </row>
    <row r="52" spans="1:24" x14ac:dyDescent="0.15">
      <c r="A52" s="25" t="s">
        <v>1036</v>
      </c>
      <c r="B52" s="25" t="s">
        <v>188</v>
      </c>
      <c r="C52" s="25" t="s">
        <v>189</v>
      </c>
      <c r="D52" s="25" t="s">
        <v>190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4440</f>
        <v>4440</v>
      </c>
      <c r="L52" s="32" t="s">
        <v>907</v>
      </c>
      <c r="M52" s="31">
        <f>4455</f>
        <v>4455</v>
      </c>
      <c r="N52" s="32" t="s">
        <v>907</v>
      </c>
      <c r="O52" s="31">
        <f>4115</f>
        <v>4115</v>
      </c>
      <c r="P52" s="32" t="s">
        <v>818</v>
      </c>
      <c r="Q52" s="31">
        <f>4115</f>
        <v>4115</v>
      </c>
      <c r="R52" s="32" t="s">
        <v>818</v>
      </c>
      <c r="S52" s="33">
        <f>4217.25</f>
        <v>4217.25</v>
      </c>
      <c r="T52" s="30">
        <f>146683</f>
        <v>146683</v>
      </c>
      <c r="U52" s="30" t="str">
        <f>"－"</f>
        <v>－</v>
      </c>
      <c r="V52" s="30">
        <f>623138625</f>
        <v>623138625</v>
      </c>
      <c r="W52" s="30" t="str">
        <f>"－"</f>
        <v>－</v>
      </c>
      <c r="X52" s="34">
        <f>20</f>
        <v>20</v>
      </c>
    </row>
    <row r="53" spans="1:24" x14ac:dyDescent="0.15">
      <c r="A53" s="25" t="s">
        <v>1036</v>
      </c>
      <c r="B53" s="25" t="s">
        <v>191</v>
      </c>
      <c r="C53" s="25" t="s">
        <v>192</v>
      </c>
      <c r="D53" s="25" t="s">
        <v>193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5190</f>
        <v>5190</v>
      </c>
      <c r="L53" s="32" t="s">
        <v>907</v>
      </c>
      <c r="M53" s="31">
        <f>5210</f>
        <v>5210</v>
      </c>
      <c r="N53" s="32" t="s">
        <v>907</v>
      </c>
      <c r="O53" s="31">
        <f>4885</f>
        <v>4885</v>
      </c>
      <c r="P53" s="32" t="s">
        <v>818</v>
      </c>
      <c r="Q53" s="31">
        <f>4885</f>
        <v>4885</v>
      </c>
      <c r="R53" s="32" t="s">
        <v>818</v>
      </c>
      <c r="S53" s="33">
        <f>4983.75</f>
        <v>4983.75</v>
      </c>
      <c r="T53" s="30">
        <f>151313</f>
        <v>151313</v>
      </c>
      <c r="U53" s="30">
        <f>80001</f>
        <v>80001</v>
      </c>
      <c r="V53" s="30">
        <f>762540445</f>
        <v>762540445</v>
      </c>
      <c r="W53" s="30">
        <f>402028960</f>
        <v>402028960</v>
      </c>
      <c r="X53" s="34">
        <f>20</f>
        <v>20</v>
      </c>
    </row>
    <row r="54" spans="1:24" x14ac:dyDescent="0.15">
      <c r="A54" s="25" t="s">
        <v>1036</v>
      </c>
      <c r="B54" s="25" t="s">
        <v>194</v>
      </c>
      <c r="C54" s="25" t="s">
        <v>195</v>
      </c>
      <c r="D54" s="25" t="s">
        <v>196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14675</f>
        <v>14675</v>
      </c>
      <c r="L54" s="32" t="s">
        <v>907</v>
      </c>
      <c r="M54" s="31">
        <f>16800</f>
        <v>16800</v>
      </c>
      <c r="N54" s="32" t="s">
        <v>812</v>
      </c>
      <c r="O54" s="31">
        <f>14545</f>
        <v>14545</v>
      </c>
      <c r="P54" s="32" t="s">
        <v>907</v>
      </c>
      <c r="Q54" s="31">
        <f>16795</f>
        <v>16795</v>
      </c>
      <c r="R54" s="32" t="s">
        <v>818</v>
      </c>
      <c r="S54" s="33">
        <f>16097.75</f>
        <v>16097.75</v>
      </c>
      <c r="T54" s="30">
        <f>22058219</f>
        <v>22058219</v>
      </c>
      <c r="U54" s="30">
        <f>82025</f>
        <v>82025</v>
      </c>
      <c r="V54" s="30">
        <f>354722400385</f>
        <v>354722400385</v>
      </c>
      <c r="W54" s="30">
        <f>1316547140</f>
        <v>1316547140</v>
      </c>
      <c r="X54" s="34">
        <f>20</f>
        <v>20</v>
      </c>
    </row>
    <row r="55" spans="1:24" x14ac:dyDescent="0.15">
      <c r="A55" s="25" t="s">
        <v>1036</v>
      </c>
      <c r="B55" s="25" t="s">
        <v>197</v>
      </c>
      <c r="C55" s="25" t="s">
        <v>198</v>
      </c>
      <c r="D55" s="25" t="s">
        <v>199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1663</f>
        <v>1663</v>
      </c>
      <c r="L55" s="32" t="s">
        <v>907</v>
      </c>
      <c r="M55" s="31">
        <f>1678</f>
        <v>1678</v>
      </c>
      <c r="N55" s="32" t="s">
        <v>907</v>
      </c>
      <c r="O55" s="31">
        <f>1428</f>
        <v>1428</v>
      </c>
      <c r="P55" s="32" t="s">
        <v>818</v>
      </c>
      <c r="Q55" s="31">
        <f>1429</f>
        <v>1429</v>
      </c>
      <c r="R55" s="32" t="s">
        <v>818</v>
      </c>
      <c r="S55" s="33">
        <f>1502</f>
        <v>1502</v>
      </c>
      <c r="T55" s="30">
        <f>207715288</f>
        <v>207715288</v>
      </c>
      <c r="U55" s="30">
        <f>400</f>
        <v>400</v>
      </c>
      <c r="V55" s="30">
        <f>313254737548</f>
        <v>313254737548</v>
      </c>
      <c r="W55" s="30">
        <f>580750</f>
        <v>580750</v>
      </c>
      <c r="X55" s="34">
        <f>20</f>
        <v>20</v>
      </c>
    </row>
    <row r="56" spans="1:24" x14ac:dyDescent="0.15">
      <c r="A56" s="25" t="s">
        <v>1036</v>
      </c>
      <c r="B56" s="25" t="s">
        <v>200</v>
      </c>
      <c r="C56" s="25" t="s">
        <v>201</v>
      </c>
      <c r="D56" s="25" t="s">
        <v>202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13165</f>
        <v>13165</v>
      </c>
      <c r="L56" s="32" t="s">
        <v>907</v>
      </c>
      <c r="M56" s="31">
        <f>14730</f>
        <v>14730</v>
      </c>
      <c r="N56" s="32" t="s">
        <v>80</v>
      </c>
      <c r="O56" s="31">
        <f>13055</f>
        <v>13055</v>
      </c>
      <c r="P56" s="32" t="s">
        <v>907</v>
      </c>
      <c r="Q56" s="31">
        <f>14545</f>
        <v>14545</v>
      </c>
      <c r="R56" s="32" t="s">
        <v>818</v>
      </c>
      <c r="S56" s="33">
        <f>14161.75</f>
        <v>14161.75</v>
      </c>
      <c r="T56" s="30">
        <f>4125</f>
        <v>4125</v>
      </c>
      <c r="U56" s="30" t="str">
        <f t="shared" ref="U56:U62" si="2">"－"</f>
        <v>－</v>
      </c>
      <c r="V56" s="30">
        <f>58750345</f>
        <v>58750345</v>
      </c>
      <c r="W56" s="30" t="str">
        <f t="shared" ref="W56:W62" si="3">"－"</f>
        <v>－</v>
      </c>
      <c r="X56" s="34">
        <f>20</f>
        <v>20</v>
      </c>
    </row>
    <row r="57" spans="1:24" x14ac:dyDescent="0.15">
      <c r="A57" s="25" t="s">
        <v>1036</v>
      </c>
      <c r="B57" s="25" t="s">
        <v>203</v>
      </c>
      <c r="C57" s="25" t="s">
        <v>204</v>
      </c>
      <c r="D57" s="25" t="s">
        <v>205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4975</f>
        <v>4975</v>
      </c>
      <c r="L57" s="32" t="s">
        <v>907</v>
      </c>
      <c r="M57" s="31">
        <f>4980</f>
        <v>4980</v>
      </c>
      <c r="N57" s="32" t="s">
        <v>56</v>
      </c>
      <c r="O57" s="31">
        <f>4735</f>
        <v>4735</v>
      </c>
      <c r="P57" s="32" t="s">
        <v>810</v>
      </c>
      <c r="Q57" s="31">
        <f>4780</f>
        <v>4780</v>
      </c>
      <c r="R57" s="32" t="s">
        <v>818</v>
      </c>
      <c r="S57" s="33">
        <f>4849.06</f>
        <v>4849.0600000000004</v>
      </c>
      <c r="T57" s="30">
        <f>317</f>
        <v>317</v>
      </c>
      <c r="U57" s="30" t="str">
        <f t="shared" si="2"/>
        <v>－</v>
      </c>
      <c r="V57" s="30">
        <f>1538760</f>
        <v>1538760</v>
      </c>
      <c r="W57" s="30" t="str">
        <f t="shared" si="3"/>
        <v>－</v>
      </c>
      <c r="X57" s="34">
        <f>16</f>
        <v>16</v>
      </c>
    </row>
    <row r="58" spans="1:24" x14ac:dyDescent="0.15">
      <c r="A58" s="25" t="s">
        <v>1036</v>
      </c>
      <c r="B58" s="25" t="s">
        <v>206</v>
      </c>
      <c r="C58" s="25" t="s">
        <v>207</v>
      </c>
      <c r="D58" s="25" t="s">
        <v>208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2029</f>
        <v>2029</v>
      </c>
      <c r="L58" s="32" t="s">
        <v>907</v>
      </c>
      <c r="M58" s="31">
        <f>2029</f>
        <v>2029</v>
      </c>
      <c r="N58" s="32" t="s">
        <v>907</v>
      </c>
      <c r="O58" s="31">
        <f>1762</f>
        <v>1762</v>
      </c>
      <c r="P58" s="32" t="s">
        <v>80</v>
      </c>
      <c r="Q58" s="31">
        <f>1775</f>
        <v>1775</v>
      </c>
      <c r="R58" s="32" t="s">
        <v>818</v>
      </c>
      <c r="S58" s="33">
        <f>1831.95</f>
        <v>1831.95</v>
      </c>
      <c r="T58" s="30">
        <f>38560</f>
        <v>38560</v>
      </c>
      <c r="U58" s="30" t="str">
        <f t="shared" si="2"/>
        <v>－</v>
      </c>
      <c r="V58" s="30">
        <f>70695749</f>
        <v>70695749</v>
      </c>
      <c r="W58" s="30" t="str">
        <f t="shared" si="3"/>
        <v>－</v>
      </c>
      <c r="X58" s="34">
        <f>20</f>
        <v>20</v>
      </c>
    </row>
    <row r="59" spans="1:24" x14ac:dyDescent="0.15">
      <c r="A59" s="25" t="s">
        <v>1036</v>
      </c>
      <c r="B59" s="25" t="s">
        <v>209</v>
      </c>
      <c r="C59" s="25" t="s">
        <v>210</v>
      </c>
      <c r="D59" s="25" t="s">
        <v>211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12440</f>
        <v>12440</v>
      </c>
      <c r="L59" s="32" t="s">
        <v>907</v>
      </c>
      <c r="M59" s="31">
        <f>13900</f>
        <v>13900</v>
      </c>
      <c r="N59" s="32" t="s">
        <v>80</v>
      </c>
      <c r="O59" s="31">
        <f>12050</f>
        <v>12050</v>
      </c>
      <c r="P59" s="32" t="s">
        <v>907</v>
      </c>
      <c r="Q59" s="31">
        <f>13370</f>
        <v>13370</v>
      </c>
      <c r="R59" s="32" t="s">
        <v>818</v>
      </c>
      <c r="S59" s="33">
        <f>13181.32</f>
        <v>13181.32</v>
      </c>
      <c r="T59" s="30">
        <f>5740</f>
        <v>5740</v>
      </c>
      <c r="U59" s="30" t="str">
        <f t="shared" si="2"/>
        <v>－</v>
      </c>
      <c r="V59" s="30">
        <f>75835900</f>
        <v>75835900</v>
      </c>
      <c r="W59" s="30" t="str">
        <f t="shared" si="3"/>
        <v>－</v>
      </c>
      <c r="X59" s="34">
        <f>19</f>
        <v>19</v>
      </c>
    </row>
    <row r="60" spans="1:24" x14ac:dyDescent="0.15">
      <c r="A60" s="25" t="s">
        <v>1036</v>
      </c>
      <c r="B60" s="25" t="s">
        <v>212</v>
      </c>
      <c r="C60" s="25" t="s">
        <v>213</v>
      </c>
      <c r="D60" s="25" t="s">
        <v>214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4346</f>
        <v>4346</v>
      </c>
      <c r="L60" s="32" t="s">
        <v>810</v>
      </c>
      <c r="M60" s="31">
        <f>4435</f>
        <v>4435</v>
      </c>
      <c r="N60" s="32" t="s">
        <v>821</v>
      </c>
      <c r="O60" s="31">
        <f>4346</f>
        <v>4346</v>
      </c>
      <c r="P60" s="32" t="s">
        <v>810</v>
      </c>
      <c r="Q60" s="31">
        <f>4435</f>
        <v>4435</v>
      </c>
      <c r="R60" s="32" t="s">
        <v>821</v>
      </c>
      <c r="S60" s="33">
        <f>4390.5</f>
        <v>4390.5</v>
      </c>
      <c r="T60" s="30">
        <f>20</f>
        <v>20</v>
      </c>
      <c r="U60" s="30" t="str">
        <f t="shared" si="2"/>
        <v>－</v>
      </c>
      <c r="V60" s="30">
        <f>87810</f>
        <v>87810</v>
      </c>
      <c r="W60" s="30" t="str">
        <f t="shared" si="3"/>
        <v>－</v>
      </c>
      <c r="X60" s="34">
        <f>2</f>
        <v>2</v>
      </c>
    </row>
    <row r="61" spans="1:24" x14ac:dyDescent="0.15">
      <c r="A61" s="25" t="s">
        <v>1036</v>
      </c>
      <c r="B61" s="25" t="s">
        <v>215</v>
      </c>
      <c r="C61" s="25" t="s">
        <v>216</v>
      </c>
      <c r="D61" s="25" t="s">
        <v>217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1955</f>
        <v>1955</v>
      </c>
      <c r="L61" s="32" t="s">
        <v>907</v>
      </c>
      <c r="M61" s="31">
        <f>1979.5</f>
        <v>1979.5</v>
      </c>
      <c r="N61" s="32" t="s">
        <v>907</v>
      </c>
      <c r="O61" s="31">
        <f>1741.5</f>
        <v>1741.5</v>
      </c>
      <c r="P61" s="32" t="s">
        <v>818</v>
      </c>
      <c r="Q61" s="31">
        <f>1741.5</f>
        <v>1741.5</v>
      </c>
      <c r="R61" s="32" t="s">
        <v>818</v>
      </c>
      <c r="S61" s="33">
        <f>1803.78</f>
        <v>1803.78</v>
      </c>
      <c r="T61" s="30">
        <f>62570</f>
        <v>62570</v>
      </c>
      <c r="U61" s="30" t="str">
        <f t="shared" si="2"/>
        <v>－</v>
      </c>
      <c r="V61" s="30">
        <f>113238560</f>
        <v>113238560</v>
      </c>
      <c r="W61" s="30" t="str">
        <f t="shared" si="3"/>
        <v>－</v>
      </c>
      <c r="X61" s="34">
        <f>20</f>
        <v>20</v>
      </c>
    </row>
    <row r="62" spans="1:24" x14ac:dyDescent="0.15">
      <c r="A62" s="25" t="s">
        <v>1036</v>
      </c>
      <c r="B62" s="25" t="s">
        <v>221</v>
      </c>
      <c r="C62" s="25" t="s">
        <v>222</v>
      </c>
      <c r="D62" s="25" t="s">
        <v>223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776</f>
        <v>776</v>
      </c>
      <c r="L62" s="32" t="s">
        <v>907</v>
      </c>
      <c r="M62" s="31">
        <f>803</f>
        <v>803</v>
      </c>
      <c r="N62" s="32" t="s">
        <v>907</v>
      </c>
      <c r="O62" s="31">
        <f>706</f>
        <v>706</v>
      </c>
      <c r="P62" s="32" t="s">
        <v>80</v>
      </c>
      <c r="Q62" s="31">
        <f>711</f>
        <v>711</v>
      </c>
      <c r="R62" s="32" t="s">
        <v>818</v>
      </c>
      <c r="S62" s="33">
        <f>734</f>
        <v>734</v>
      </c>
      <c r="T62" s="30">
        <f>44125</f>
        <v>44125</v>
      </c>
      <c r="U62" s="30" t="str">
        <f t="shared" si="2"/>
        <v>－</v>
      </c>
      <c r="V62" s="30">
        <f>32418943</f>
        <v>32418943</v>
      </c>
      <c r="W62" s="30" t="str">
        <f t="shared" si="3"/>
        <v>－</v>
      </c>
      <c r="X62" s="34">
        <f>20</f>
        <v>20</v>
      </c>
    </row>
    <row r="63" spans="1:24" x14ac:dyDescent="0.15">
      <c r="A63" s="25" t="s">
        <v>1036</v>
      </c>
      <c r="B63" s="25" t="s">
        <v>224</v>
      </c>
      <c r="C63" s="25" t="s">
        <v>225</v>
      </c>
      <c r="D63" s="25" t="s">
        <v>226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1873</f>
        <v>1873</v>
      </c>
      <c r="L63" s="32" t="s">
        <v>907</v>
      </c>
      <c r="M63" s="31">
        <f>1974</f>
        <v>1974</v>
      </c>
      <c r="N63" s="32" t="s">
        <v>80</v>
      </c>
      <c r="O63" s="31">
        <f>1856</f>
        <v>1856</v>
      </c>
      <c r="P63" s="32" t="s">
        <v>907</v>
      </c>
      <c r="Q63" s="31">
        <f>1971.5</f>
        <v>1971.5</v>
      </c>
      <c r="R63" s="32" t="s">
        <v>818</v>
      </c>
      <c r="S63" s="33">
        <f>1938.75</f>
        <v>1938.75</v>
      </c>
      <c r="T63" s="30">
        <f>439380</f>
        <v>439380</v>
      </c>
      <c r="U63" s="30">
        <f>30000</f>
        <v>30000</v>
      </c>
      <c r="V63" s="30">
        <f>849421190</f>
        <v>849421190</v>
      </c>
      <c r="W63" s="30">
        <f>57990000</f>
        <v>57990000</v>
      </c>
      <c r="X63" s="34">
        <f>20</f>
        <v>20</v>
      </c>
    </row>
    <row r="64" spans="1:24" x14ac:dyDescent="0.15">
      <c r="A64" s="25" t="s">
        <v>1036</v>
      </c>
      <c r="B64" s="25" t="s">
        <v>227</v>
      </c>
      <c r="C64" s="25" t="s">
        <v>228</v>
      </c>
      <c r="D64" s="25" t="s">
        <v>229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16805</f>
        <v>16805</v>
      </c>
      <c r="L64" s="32" t="s">
        <v>907</v>
      </c>
      <c r="M64" s="31">
        <f>17670</f>
        <v>17670</v>
      </c>
      <c r="N64" s="32" t="s">
        <v>80</v>
      </c>
      <c r="O64" s="31">
        <f>16805</f>
        <v>16805</v>
      </c>
      <c r="P64" s="32" t="s">
        <v>907</v>
      </c>
      <c r="Q64" s="31">
        <f>17600</f>
        <v>17600</v>
      </c>
      <c r="R64" s="32" t="s">
        <v>818</v>
      </c>
      <c r="S64" s="33">
        <f>17325.25</f>
        <v>17325.25</v>
      </c>
      <c r="T64" s="30">
        <f>4494</f>
        <v>4494</v>
      </c>
      <c r="U64" s="30" t="str">
        <f>"－"</f>
        <v>－</v>
      </c>
      <c r="V64" s="30">
        <f>77954685</f>
        <v>77954685</v>
      </c>
      <c r="W64" s="30" t="str">
        <f>"－"</f>
        <v>－</v>
      </c>
      <c r="X64" s="34">
        <f>20</f>
        <v>20</v>
      </c>
    </row>
    <row r="65" spans="1:24" x14ac:dyDescent="0.15">
      <c r="A65" s="25" t="s">
        <v>1036</v>
      </c>
      <c r="B65" s="25" t="s">
        <v>230</v>
      </c>
      <c r="C65" s="25" t="s">
        <v>231</v>
      </c>
      <c r="D65" s="25" t="s">
        <v>232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1880</f>
        <v>1880</v>
      </c>
      <c r="L65" s="32" t="s">
        <v>907</v>
      </c>
      <c r="M65" s="31">
        <f>1987</f>
        <v>1987</v>
      </c>
      <c r="N65" s="32" t="s">
        <v>80</v>
      </c>
      <c r="O65" s="31">
        <f>1867</f>
        <v>1867</v>
      </c>
      <c r="P65" s="32" t="s">
        <v>907</v>
      </c>
      <c r="Q65" s="31">
        <f>1985</f>
        <v>1985</v>
      </c>
      <c r="R65" s="32" t="s">
        <v>818</v>
      </c>
      <c r="S65" s="33">
        <f>1949.5</f>
        <v>1949.5</v>
      </c>
      <c r="T65" s="30">
        <f>4196536</f>
        <v>4196536</v>
      </c>
      <c r="U65" s="30">
        <f>332545</f>
        <v>332545</v>
      </c>
      <c r="V65" s="30">
        <f>8194112847</f>
        <v>8194112847</v>
      </c>
      <c r="W65" s="30">
        <f>646369215</f>
        <v>646369215</v>
      </c>
      <c r="X65" s="34">
        <f>20</f>
        <v>20</v>
      </c>
    </row>
    <row r="66" spans="1:24" x14ac:dyDescent="0.15">
      <c r="A66" s="25" t="s">
        <v>1036</v>
      </c>
      <c r="B66" s="25" t="s">
        <v>233</v>
      </c>
      <c r="C66" s="25" t="s">
        <v>234</v>
      </c>
      <c r="D66" s="25" t="s">
        <v>235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2017</f>
        <v>2017</v>
      </c>
      <c r="L66" s="32" t="s">
        <v>907</v>
      </c>
      <c r="M66" s="31">
        <f>2058</f>
        <v>2058</v>
      </c>
      <c r="N66" s="32" t="s">
        <v>810</v>
      </c>
      <c r="O66" s="31">
        <f>1916</f>
        <v>1916</v>
      </c>
      <c r="P66" s="32" t="s">
        <v>820</v>
      </c>
      <c r="Q66" s="31">
        <f>2045</f>
        <v>2045</v>
      </c>
      <c r="R66" s="32" t="s">
        <v>818</v>
      </c>
      <c r="S66" s="33">
        <f>1986.95</f>
        <v>1986.95</v>
      </c>
      <c r="T66" s="30">
        <f>8632586</f>
        <v>8632586</v>
      </c>
      <c r="U66" s="30">
        <f>3424026</f>
        <v>3424026</v>
      </c>
      <c r="V66" s="30">
        <f>17181183067</f>
        <v>17181183067</v>
      </c>
      <c r="W66" s="30">
        <f>6847836624</f>
        <v>6847836624</v>
      </c>
      <c r="X66" s="34">
        <f>20</f>
        <v>20</v>
      </c>
    </row>
    <row r="67" spans="1:24" x14ac:dyDescent="0.15">
      <c r="A67" s="25" t="s">
        <v>1036</v>
      </c>
      <c r="B67" s="25" t="s">
        <v>236</v>
      </c>
      <c r="C67" s="25" t="s">
        <v>237</v>
      </c>
      <c r="D67" s="25" t="s">
        <v>238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1835</f>
        <v>1835</v>
      </c>
      <c r="L67" s="32" t="s">
        <v>907</v>
      </c>
      <c r="M67" s="31">
        <f>1918</f>
        <v>1918</v>
      </c>
      <c r="N67" s="32" t="s">
        <v>70</v>
      </c>
      <c r="O67" s="31">
        <f>1819</f>
        <v>1819</v>
      </c>
      <c r="P67" s="32" t="s">
        <v>907</v>
      </c>
      <c r="Q67" s="31">
        <f>1894</f>
        <v>1894</v>
      </c>
      <c r="R67" s="32" t="s">
        <v>818</v>
      </c>
      <c r="S67" s="33">
        <f>1880.6</f>
        <v>1880.6</v>
      </c>
      <c r="T67" s="30">
        <f>167068</f>
        <v>167068</v>
      </c>
      <c r="U67" s="30">
        <f>126292</f>
        <v>126292</v>
      </c>
      <c r="V67" s="30">
        <f>310954577</f>
        <v>310954577</v>
      </c>
      <c r="W67" s="30">
        <f>235537977</f>
        <v>235537977</v>
      </c>
      <c r="X67" s="34">
        <f>20</f>
        <v>20</v>
      </c>
    </row>
    <row r="68" spans="1:24" x14ac:dyDescent="0.15">
      <c r="A68" s="25" t="s">
        <v>1036</v>
      </c>
      <c r="B68" s="25" t="s">
        <v>239</v>
      </c>
      <c r="C68" s="25" t="s">
        <v>240</v>
      </c>
      <c r="D68" s="25" t="s">
        <v>241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2295</f>
        <v>2295</v>
      </c>
      <c r="L68" s="32" t="s">
        <v>907</v>
      </c>
      <c r="M68" s="31">
        <f>2407</f>
        <v>2407</v>
      </c>
      <c r="N68" s="32" t="s">
        <v>812</v>
      </c>
      <c r="O68" s="31">
        <f>2271</f>
        <v>2271</v>
      </c>
      <c r="P68" s="32" t="s">
        <v>907</v>
      </c>
      <c r="Q68" s="31">
        <f>2386</f>
        <v>2386</v>
      </c>
      <c r="R68" s="32" t="s">
        <v>818</v>
      </c>
      <c r="S68" s="33">
        <f>2365.85</f>
        <v>2365.85</v>
      </c>
      <c r="T68" s="30">
        <f>193269</f>
        <v>193269</v>
      </c>
      <c r="U68" s="30">
        <f>21000</f>
        <v>21000</v>
      </c>
      <c r="V68" s="30">
        <f>457558099</f>
        <v>457558099</v>
      </c>
      <c r="W68" s="30">
        <f>49896000</f>
        <v>49896000</v>
      </c>
      <c r="X68" s="34">
        <f>20</f>
        <v>20</v>
      </c>
    </row>
    <row r="69" spans="1:24" x14ac:dyDescent="0.15">
      <c r="A69" s="25" t="s">
        <v>1036</v>
      </c>
      <c r="B69" s="25" t="s">
        <v>242</v>
      </c>
      <c r="C69" s="25" t="s">
        <v>243</v>
      </c>
      <c r="D69" s="25" t="s">
        <v>244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22590</f>
        <v>22590</v>
      </c>
      <c r="L69" s="32" t="s">
        <v>907</v>
      </c>
      <c r="M69" s="31">
        <f>23930</f>
        <v>23930</v>
      </c>
      <c r="N69" s="32" t="s">
        <v>812</v>
      </c>
      <c r="O69" s="31">
        <f>22590</f>
        <v>22590</v>
      </c>
      <c r="P69" s="32" t="s">
        <v>907</v>
      </c>
      <c r="Q69" s="31">
        <f>23930</f>
        <v>23930</v>
      </c>
      <c r="R69" s="32" t="s">
        <v>812</v>
      </c>
      <c r="S69" s="33">
        <f>23571.67</f>
        <v>23571.67</v>
      </c>
      <c r="T69" s="30">
        <f>15</f>
        <v>15</v>
      </c>
      <c r="U69" s="30" t="str">
        <f>"－"</f>
        <v>－</v>
      </c>
      <c r="V69" s="30">
        <f>354290</f>
        <v>354290</v>
      </c>
      <c r="W69" s="30" t="str">
        <f>"－"</f>
        <v>－</v>
      </c>
      <c r="X69" s="34">
        <f>9</f>
        <v>9</v>
      </c>
    </row>
    <row r="70" spans="1:24" x14ac:dyDescent="0.15">
      <c r="A70" s="25" t="s">
        <v>1036</v>
      </c>
      <c r="B70" s="25" t="s">
        <v>245</v>
      </c>
      <c r="C70" s="25" t="s">
        <v>246</v>
      </c>
      <c r="D70" s="25" t="s">
        <v>247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19205</f>
        <v>19205</v>
      </c>
      <c r="L70" s="32" t="s">
        <v>811</v>
      </c>
      <c r="M70" s="31">
        <f>19665</f>
        <v>19665</v>
      </c>
      <c r="N70" s="32" t="s">
        <v>80</v>
      </c>
      <c r="O70" s="31">
        <f>18870</f>
        <v>18870</v>
      </c>
      <c r="P70" s="32" t="s">
        <v>56</v>
      </c>
      <c r="Q70" s="31">
        <f>19290</f>
        <v>19290</v>
      </c>
      <c r="R70" s="32" t="s">
        <v>818</v>
      </c>
      <c r="S70" s="33">
        <f>19235.91</f>
        <v>19235.91</v>
      </c>
      <c r="T70" s="30">
        <f>139</f>
        <v>139</v>
      </c>
      <c r="U70" s="30" t="str">
        <f>"－"</f>
        <v>－</v>
      </c>
      <c r="V70" s="30">
        <f>2683175</f>
        <v>2683175</v>
      </c>
      <c r="W70" s="30" t="str">
        <f>"－"</f>
        <v>－</v>
      </c>
      <c r="X70" s="34">
        <f>11</f>
        <v>11</v>
      </c>
    </row>
    <row r="71" spans="1:24" x14ac:dyDescent="0.15">
      <c r="A71" s="25" t="s">
        <v>1036</v>
      </c>
      <c r="B71" s="25" t="s">
        <v>248</v>
      </c>
      <c r="C71" s="25" t="s">
        <v>249</v>
      </c>
      <c r="D71" s="25" t="s">
        <v>250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1938</f>
        <v>1938</v>
      </c>
      <c r="L71" s="32" t="s">
        <v>907</v>
      </c>
      <c r="M71" s="31">
        <f>2026</f>
        <v>2026</v>
      </c>
      <c r="N71" s="32" t="s">
        <v>80</v>
      </c>
      <c r="O71" s="31">
        <f>1929</f>
        <v>1929</v>
      </c>
      <c r="P71" s="32" t="s">
        <v>907</v>
      </c>
      <c r="Q71" s="31">
        <f>2025</f>
        <v>2025</v>
      </c>
      <c r="R71" s="32" t="s">
        <v>818</v>
      </c>
      <c r="S71" s="33">
        <f>1993.6</f>
        <v>1993.6</v>
      </c>
      <c r="T71" s="30">
        <f>6277</f>
        <v>6277</v>
      </c>
      <c r="U71" s="30" t="str">
        <f>"－"</f>
        <v>－</v>
      </c>
      <c r="V71" s="30">
        <f>12612776</f>
        <v>12612776</v>
      </c>
      <c r="W71" s="30" t="str">
        <f>"－"</f>
        <v>－</v>
      </c>
      <c r="X71" s="34">
        <f>20</f>
        <v>20</v>
      </c>
    </row>
    <row r="72" spans="1:24" x14ac:dyDescent="0.15">
      <c r="A72" s="25" t="s">
        <v>1036</v>
      </c>
      <c r="B72" s="25" t="s">
        <v>251</v>
      </c>
      <c r="C72" s="25" t="s">
        <v>252</v>
      </c>
      <c r="D72" s="25" t="s">
        <v>253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1907</f>
        <v>1907</v>
      </c>
      <c r="L72" s="32" t="s">
        <v>907</v>
      </c>
      <c r="M72" s="31">
        <f>1944</f>
        <v>1944</v>
      </c>
      <c r="N72" s="32" t="s">
        <v>810</v>
      </c>
      <c r="O72" s="31">
        <f>1836</f>
        <v>1836</v>
      </c>
      <c r="P72" s="32" t="s">
        <v>66</v>
      </c>
      <c r="Q72" s="31">
        <f>1875</f>
        <v>1875</v>
      </c>
      <c r="R72" s="32" t="s">
        <v>818</v>
      </c>
      <c r="S72" s="33">
        <f>1885.15</f>
        <v>1885.15</v>
      </c>
      <c r="T72" s="30">
        <f>6842247</f>
        <v>6842247</v>
      </c>
      <c r="U72" s="30">
        <f>5146687</f>
        <v>5146687</v>
      </c>
      <c r="V72" s="30">
        <f>12846216377</f>
        <v>12846216377</v>
      </c>
      <c r="W72" s="30">
        <f>9668632619</f>
        <v>9668632619</v>
      </c>
      <c r="X72" s="34">
        <f>20</f>
        <v>20</v>
      </c>
    </row>
    <row r="73" spans="1:24" x14ac:dyDescent="0.15">
      <c r="A73" s="25" t="s">
        <v>1036</v>
      </c>
      <c r="B73" s="25" t="s">
        <v>254</v>
      </c>
      <c r="C73" s="25" t="s">
        <v>255</v>
      </c>
      <c r="D73" s="25" t="s">
        <v>256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1991</f>
        <v>1991</v>
      </c>
      <c r="L73" s="32" t="s">
        <v>907</v>
      </c>
      <c r="M73" s="31">
        <f>2334</f>
        <v>2334</v>
      </c>
      <c r="N73" s="32" t="s">
        <v>816</v>
      </c>
      <c r="O73" s="31">
        <f>1991</f>
        <v>1991</v>
      </c>
      <c r="P73" s="32" t="s">
        <v>907</v>
      </c>
      <c r="Q73" s="31">
        <f>2091</f>
        <v>2091</v>
      </c>
      <c r="R73" s="32" t="s">
        <v>818</v>
      </c>
      <c r="S73" s="33">
        <f>2070</f>
        <v>2070</v>
      </c>
      <c r="T73" s="30">
        <f>36701</f>
        <v>36701</v>
      </c>
      <c r="U73" s="30">
        <f>13000</f>
        <v>13000</v>
      </c>
      <c r="V73" s="30">
        <f>76205298</f>
        <v>76205298</v>
      </c>
      <c r="W73" s="30">
        <f>25978030</f>
        <v>25978030</v>
      </c>
      <c r="X73" s="34">
        <f>20</f>
        <v>20</v>
      </c>
    </row>
    <row r="74" spans="1:24" x14ac:dyDescent="0.15">
      <c r="A74" s="25" t="s">
        <v>1036</v>
      </c>
      <c r="B74" s="25" t="s">
        <v>257</v>
      </c>
      <c r="C74" s="25" t="s">
        <v>258</v>
      </c>
      <c r="D74" s="25" t="s">
        <v>259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1895.5</f>
        <v>1895.5</v>
      </c>
      <c r="L74" s="32" t="s">
        <v>907</v>
      </c>
      <c r="M74" s="31">
        <f>2001</f>
        <v>2001</v>
      </c>
      <c r="N74" s="32" t="s">
        <v>80</v>
      </c>
      <c r="O74" s="31">
        <f>1892.5</f>
        <v>1892.5</v>
      </c>
      <c r="P74" s="32" t="s">
        <v>907</v>
      </c>
      <c r="Q74" s="31">
        <f>1999</f>
        <v>1999</v>
      </c>
      <c r="R74" s="32" t="s">
        <v>818</v>
      </c>
      <c r="S74" s="33">
        <f>1968.13</f>
        <v>1968.13</v>
      </c>
      <c r="T74" s="30">
        <f>56510</f>
        <v>56510</v>
      </c>
      <c r="U74" s="30" t="str">
        <f>"－"</f>
        <v>－</v>
      </c>
      <c r="V74" s="30">
        <f>109328020</f>
        <v>109328020</v>
      </c>
      <c r="W74" s="30" t="str">
        <f>"－"</f>
        <v>－</v>
      </c>
      <c r="X74" s="34">
        <f>20</f>
        <v>20</v>
      </c>
    </row>
    <row r="75" spans="1:24" x14ac:dyDescent="0.15">
      <c r="A75" s="25" t="s">
        <v>1036</v>
      </c>
      <c r="B75" s="25" t="s">
        <v>260</v>
      </c>
      <c r="C75" s="25" t="s">
        <v>261</v>
      </c>
      <c r="D75" s="25" t="s">
        <v>262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32190</f>
        <v>32190</v>
      </c>
      <c r="L75" s="32" t="s">
        <v>819</v>
      </c>
      <c r="M75" s="31">
        <f>32190</f>
        <v>32190</v>
      </c>
      <c r="N75" s="32" t="s">
        <v>819</v>
      </c>
      <c r="O75" s="31">
        <f>30790</f>
        <v>30790</v>
      </c>
      <c r="P75" s="32" t="s">
        <v>266</v>
      </c>
      <c r="Q75" s="31">
        <f>30790</f>
        <v>30790</v>
      </c>
      <c r="R75" s="32" t="s">
        <v>266</v>
      </c>
      <c r="S75" s="33">
        <f>31490</f>
        <v>31490</v>
      </c>
      <c r="T75" s="30">
        <f>7</f>
        <v>7</v>
      </c>
      <c r="U75" s="30" t="str">
        <f>"－"</f>
        <v>－</v>
      </c>
      <c r="V75" s="30">
        <f>223930</f>
        <v>223930</v>
      </c>
      <c r="W75" s="30" t="str">
        <f>"－"</f>
        <v>－</v>
      </c>
      <c r="X75" s="34">
        <f>2</f>
        <v>2</v>
      </c>
    </row>
    <row r="76" spans="1:24" x14ac:dyDescent="0.15">
      <c r="A76" s="25" t="s">
        <v>1036</v>
      </c>
      <c r="B76" s="25" t="s">
        <v>263</v>
      </c>
      <c r="C76" s="25" t="s">
        <v>264</v>
      </c>
      <c r="D76" s="25" t="s">
        <v>265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23180</f>
        <v>23180</v>
      </c>
      <c r="L76" s="32" t="s">
        <v>907</v>
      </c>
      <c r="M76" s="31">
        <f>23570</f>
        <v>23570</v>
      </c>
      <c r="N76" s="32" t="s">
        <v>816</v>
      </c>
      <c r="O76" s="31">
        <f>22865</f>
        <v>22865</v>
      </c>
      <c r="P76" s="32" t="s">
        <v>821</v>
      </c>
      <c r="Q76" s="31">
        <f>23240</f>
        <v>23240</v>
      </c>
      <c r="R76" s="32" t="s">
        <v>818</v>
      </c>
      <c r="S76" s="33">
        <f>23198.75</f>
        <v>23198.75</v>
      </c>
      <c r="T76" s="30">
        <f>108195</f>
        <v>108195</v>
      </c>
      <c r="U76" s="30">
        <f>93003</f>
        <v>93003</v>
      </c>
      <c r="V76" s="30">
        <f>2511752781</f>
        <v>2511752781</v>
      </c>
      <c r="W76" s="30">
        <f>2159899641</f>
        <v>2159899641</v>
      </c>
      <c r="X76" s="34">
        <f>20</f>
        <v>20</v>
      </c>
    </row>
    <row r="77" spans="1:24" x14ac:dyDescent="0.15">
      <c r="A77" s="25" t="s">
        <v>1036</v>
      </c>
      <c r="B77" s="25" t="s">
        <v>267</v>
      </c>
      <c r="C77" s="25" t="s">
        <v>268</v>
      </c>
      <c r="D77" s="25" t="s">
        <v>269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14805</f>
        <v>14805</v>
      </c>
      <c r="L77" s="32" t="s">
        <v>907</v>
      </c>
      <c r="M77" s="31">
        <f>15045</f>
        <v>15045</v>
      </c>
      <c r="N77" s="32" t="s">
        <v>811</v>
      </c>
      <c r="O77" s="31">
        <f>14240</f>
        <v>14240</v>
      </c>
      <c r="P77" s="32" t="s">
        <v>66</v>
      </c>
      <c r="Q77" s="31">
        <f>14520</f>
        <v>14520</v>
      </c>
      <c r="R77" s="32" t="s">
        <v>818</v>
      </c>
      <c r="S77" s="33">
        <f>14605.25</f>
        <v>14605.25</v>
      </c>
      <c r="T77" s="30">
        <f>278686</f>
        <v>278686</v>
      </c>
      <c r="U77" s="30">
        <f>114249</f>
        <v>114249</v>
      </c>
      <c r="V77" s="30">
        <f>4047783505</f>
        <v>4047783505</v>
      </c>
      <c r="W77" s="30">
        <f>1659227265</f>
        <v>1659227265</v>
      </c>
      <c r="X77" s="34">
        <f>20</f>
        <v>20</v>
      </c>
    </row>
    <row r="78" spans="1:24" x14ac:dyDescent="0.15">
      <c r="A78" s="25" t="s">
        <v>1036</v>
      </c>
      <c r="B78" s="25" t="s">
        <v>270</v>
      </c>
      <c r="C78" s="25" t="s">
        <v>271</v>
      </c>
      <c r="D78" s="25" t="s">
        <v>272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2018.5</f>
        <v>2018.5</v>
      </c>
      <c r="L78" s="32" t="s">
        <v>907</v>
      </c>
      <c r="M78" s="31">
        <f>2048.5</f>
        <v>2048.5</v>
      </c>
      <c r="N78" s="32" t="s">
        <v>810</v>
      </c>
      <c r="O78" s="31">
        <f>1907.5</f>
        <v>1907.5</v>
      </c>
      <c r="P78" s="32" t="s">
        <v>820</v>
      </c>
      <c r="Q78" s="31">
        <f>2030</f>
        <v>2030</v>
      </c>
      <c r="R78" s="32" t="s">
        <v>818</v>
      </c>
      <c r="S78" s="33">
        <f>1975.88</f>
        <v>1975.88</v>
      </c>
      <c r="T78" s="30">
        <f>1066870</f>
        <v>1066870</v>
      </c>
      <c r="U78" s="30">
        <f>586760</f>
        <v>586760</v>
      </c>
      <c r="V78" s="30">
        <f>2110544487</f>
        <v>2110544487</v>
      </c>
      <c r="W78" s="30">
        <f>1170289312</f>
        <v>1170289312</v>
      </c>
      <c r="X78" s="34">
        <f>20</f>
        <v>20</v>
      </c>
    </row>
    <row r="79" spans="1:24" x14ac:dyDescent="0.15">
      <c r="A79" s="25" t="s">
        <v>1036</v>
      </c>
      <c r="B79" s="25" t="s">
        <v>273</v>
      </c>
      <c r="C79" s="25" t="s">
        <v>274</v>
      </c>
      <c r="D79" s="25" t="s">
        <v>275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39640</f>
        <v>39640</v>
      </c>
      <c r="L79" s="32" t="s">
        <v>907</v>
      </c>
      <c r="M79" s="31">
        <f>41380</f>
        <v>41380</v>
      </c>
      <c r="N79" s="32" t="s">
        <v>810</v>
      </c>
      <c r="O79" s="31">
        <f>39250</f>
        <v>39250</v>
      </c>
      <c r="P79" s="32" t="s">
        <v>907</v>
      </c>
      <c r="Q79" s="31">
        <f>40130</f>
        <v>40130</v>
      </c>
      <c r="R79" s="32" t="s">
        <v>818</v>
      </c>
      <c r="S79" s="33">
        <f>40105</f>
        <v>40105</v>
      </c>
      <c r="T79" s="30">
        <f>133413</f>
        <v>133413</v>
      </c>
      <c r="U79" s="30">
        <f>10711</f>
        <v>10711</v>
      </c>
      <c r="V79" s="30">
        <f>5358621960</f>
        <v>5358621960</v>
      </c>
      <c r="W79" s="30">
        <f>429011840</f>
        <v>429011840</v>
      </c>
      <c r="X79" s="34">
        <f>20</f>
        <v>20</v>
      </c>
    </row>
    <row r="80" spans="1:24" x14ac:dyDescent="0.15">
      <c r="A80" s="25" t="s">
        <v>1036</v>
      </c>
      <c r="B80" s="25" t="s">
        <v>276</v>
      </c>
      <c r="C80" s="25" t="s">
        <v>277</v>
      </c>
      <c r="D80" s="25" t="s">
        <v>278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7757</f>
        <v>7757</v>
      </c>
      <c r="L80" s="32" t="s">
        <v>812</v>
      </c>
      <c r="M80" s="31">
        <f>7757</f>
        <v>7757</v>
      </c>
      <c r="N80" s="32" t="s">
        <v>812</v>
      </c>
      <c r="O80" s="31">
        <f>7757</f>
        <v>7757</v>
      </c>
      <c r="P80" s="32" t="s">
        <v>812</v>
      </c>
      <c r="Q80" s="31">
        <f>7757</f>
        <v>7757</v>
      </c>
      <c r="R80" s="32" t="s">
        <v>812</v>
      </c>
      <c r="S80" s="33">
        <f>7757</f>
        <v>7757</v>
      </c>
      <c r="T80" s="30">
        <f>20</f>
        <v>20</v>
      </c>
      <c r="U80" s="30" t="str">
        <f>"－"</f>
        <v>－</v>
      </c>
      <c r="V80" s="30">
        <f>155140</f>
        <v>155140</v>
      </c>
      <c r="W80" s="30" t="str">
        <f>"－"</f>
        <v>－</v>
      </c>
      <c r="X80" s="34">
        <f>1</f>
        <v>1</v>
      </c>
    </row>
    <row r="81" spans="1:24" x14ac:dyDescent="0.15">
      <c r="A81" s="25" t="s">
        <v>1036</v>
      </c>
      <c r="B81" s="25" t="s">
        <v>279</v>
      </c>
      <c r="C81" s="25" t="s">
        <v>280</v>
      </c>
      <c r="D81" s="25" t="s">
        <v>281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15030</f>
        <v>15030</v>
      </c>
      <c r="L81" s="32" t="s">
        <v>907</v>
      </c>
      <c r="M81" s="31">
        <f>15800</f>
        <v>15800</v>
      </c>
      <c r="N81" s="32" t="s">
        <v>80</v>
      </c>
      <c r="O81" s="31">
        <f>14935</f>
        <v>14935</v>
      </c>
      <c r="P81" s="32" t="s">
        <v>907</v>
      </c>
      <c r="Q81" s="31">
        <f>15745</f>
        <v>15745</v>
      </c>
      <c r="R81" s="32" t="s">
        <v>818</v>
      </c>
      <c r="S81" s="33">
        <f>15483.75</f>
        <v>15483.75</v>
      </c>
      <c r="T81" s="30">
        <f>376</f>
        <v>376</v>
      </c>
      <c r="U81" s="30" t="str">
        <f>"－"</f>
        <v>－</v>
      </c>
      <c r="V81" s="30">
        <f>5782895</f>
        <v>5782895</v>
      </c>
      <c r="W81" s="30" t="str">
        <f>"－"</f>
        <v>－</v>
      </c>
      <c r="X81" s="34">
        <f>20</f>
        <v>20</v>
      </c>
    </row>
    <row r="82" spans="1:24" x14ac:dyDescent="0.15">
      <c r="A82" s="25" t="s">
        <v>1036</v>
      </c>
      <c r="B82" s="25" t="s">
        <v>282</v>
      </c>
      <c r="C82" s="25" t="s">
        <v>283</v>
      </c>
      <c r="D82" s="25" t="s">
        <v>284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14805</f>
        <v>14805</v>
      </c>
      <c r="L82" s="32" t="s">
        <v>907</v>
      </c>
      <c r="M82" s="31">
        <f>15725</f>
        <v>15725</v>
      </c>
      <c r="N82" s="32" t="s">
        <v>80</v>
      </c>
      <c r="O82" s="31">
        <f>14760</f>
        <v>14760</v>
      </c>
      <c r="P82" s="32" t="s">
        <v>907</v>
      </c>
      <c r="Q82" s="31">
        <f>15710</f>
        <v>15710</v>
      </c>
      <c r="R82" s="32" t="s">
        <v>818</v>
      </c>
      <c r="S82" s="33">
        <f>15426.25</f>
        <v>15426.25</v>
      </c>
      <c r="T82" s="30">
        <f>1792</f>
        <v>1792</v>
      </c>
      <c r="U82" s="30" t="str">
        <f>"－"</f>
        <v>－</v>
      </c>
      <c r="V82" s="30">
        <f>27615240</f>
        <v>27615240</v>
      </c>
      <c r="W82" s="30" t="str">
        <f>"－"</f>
        <v>－</v>
      </c>
      <c r="X82" s="34">
        <f>20</f>
        <v>20</v>
      </c>
    </row>
    <row r="83" spans="1:24" x14ac:dyDescent="0.15">
      <c r="A83" s="25" t="s">
        <v>1036</v>
      </c>
      <c r="B83" s="25" t="s">
        <v>285</v>
      </c>
      <c r="C83" s="25" t="s">
        <v>286</v>
      </c>
      <c r="D83" s="25" t="s">
        <v>287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19955</f>
        <v>19955</v>
      </c>
      <c r="L83" s="32" t="s">
        <v>907</v>
      </c>
      <c r="M83" s="31">
        <f>20870</f>
        <v>20870</v>
      </c>
      <c r="N83" s="32" t="s">
        <v>810</v>
      </c>
      <c r="O83" s="31">
        <f>19780</f>
        <v>19780</v>
      </c>
      <c r="P83" s="32" t="s">
        <v>907</v>
      </c>
      <c r="Q83" s="31">
        <f>20075</f>
        <v>20075</v>
      </c>
      <c r="R83" s="32" t="s">
        <v>818</v>
      </c>
      <c r="S83" s="33">
        <f>20115.75</f>
        <v>20115.75</v>
      </c>
      <c r="T83" s="30">
        <f>15007</f>
        <v>15007</v>
      </c>
      <c r="U83" s="30">
        <f>1</f>
        <v>1</v>
      </c>
      <c r="V83" s="30">
        <f>302660000</f>
        <v>302660000</v>
      </c>
      <c r="W83" s="30">
        <f>20025</f>
        <v>20025</v>
      </c>
      <c r="X83" s="34">
        <f>20</f>
        <v>20</v>
      </c>
    </row>
    <row r="84" spans="1:24" x14ac:dyDescent="0.15">
      <c r="A84" s="25" t="s">
        <v>1036</v>
      </c>
      <c r="B84" s="25" t="s">
        <v>288</v>
      </c>
      <c r="C84" s="25" t="s">
        <v>289</v>
      </c>
      <c r="D84" s="25" t="s">
        <v>290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11070</f>
        <v>11070</v>
      </c>
      <c r="L84" s="32" t="s">
        <v>907</v>
      </c>
      <c r="M84" s="31">
        <f>11310</f>
        <v>11310</v>
      </c>
      <c r="N84" s="32" t="s">
        <v>811</v>
      </c>
      <c r="O84" s="31">
        <f>10000</f>
        <v>10000</v>
      </c>
      <c r="P84" s="32" t="s">
        <v>266</v>
      </c>
      <c r="Q84" s="31">
        <f>10310</f>
        <v>10310</v>
      </c>
      <c r="R84" s="32" t="s">
        <v>818</v>
      </c>
      <c r="S84" s="33">
        <f>10822.89</f>
        <v>10822.89</v>
      </c>
      <c r="T84" s="30">
        <f>8860</f>
        <v>8860</v>
      </c>
      <c r="U84" s="30" t="str">
        <f>"－"</f>
        <v>－</v>
      </c>
      <c r="V84" s="30">
        <f>93653400</f>
        <v>93653400</v>
      </c>
      <c r="W84" s="30" t="str">
        <f>"－"</f>
        <v>－</v>
      </c>
      <c r="X84" s="34">
        <f>19</f>
        <v>19</v>
      </c>
    </row>
    <row r="85" spans="1:24" x14ac:dyDescent="0.15">
      <c r="A85" s="25" t="s">
        <v>1036</v>
      </c>
      <c r="B85" s="25" t="s">
        <v>291</v>
      </c>
      <c r="C85" s="25" t="s">
        <v>292</v>
      </c>
      <c r="D85" s="25" t="s">
        <v>293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1941</f>
        <v>1941</v>
      </c>
      <c r="L85" s="32" t="s">
        <v>907</v>
      </c>
      <c r="M85" s="31">
        <f>1996</f>
        <v>1996</v>
      </c>
      <c r="N85" s="32" t="s">
        <v>80</v>
      </c>
      <c r="O85" s="31">
        <f>1853</f>
        <v>1853</v>
      </c>
      <c r="P85" s="32" t="s">
        <v>66</v>
      </c>
      <c r="Q85" s="31">
        <f>1901</f>
        <v>1901</v>
      </c>
      <c r="R85" s="32" t="s">
        <v>818</v>
      </c>
      <c r="S85" s="33">
        <f>1911.45</f>
        <v>1911.45</v>
      </c>
      <c r="T85" s="30">
        <f>459144</f>
        <v>459144</v>
      </c>
      <c r="U85" s="30">
        <f>156607</f>
        <v>156607</v>
      </c>
      <c r="V85" s="30">
        <f>875350079</f>
        <v>875350079</v>
      </c>
      <c r="W85" s="30">
        <f>298567711</f>
        <v>298567711</v>
      </c>
      <c r="X85" s="34">
        <f>20</f>
        <v>20</v>
      </c>
    </row>
    <row r="86" spans="1:24" x14ac:dyDescent="0.15">
      <c r="A86" s="25" t="s">
        <v>1036</v>
      </c>
      <c r="B86" s="25" t="s">
        <v>294</v>
      </c>
      <c r="C86" s="25" t="s">
        <v>295</v>
      </c>
      <c r="D86" s="25" t="s">
        <v>296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1900</f>
        <v>1900</v>
      </c>
      <c r="L86" s="32" t="s">
        <v>907</v>
      </c>
      <c r="M86" s="31">
        <f>1961</f>
        <v>1961</v>
      </c>
      <c r="N86" s="32" t="s">
        <v>818</v>
      </c>
      <c r="O86" s="31">
        <f>1860</f>
        <v>1860</v>
      </c>
      <c r="P86" s="32" t="s">
        <v>821</v>
      </c>
      <c r="Q86" s="31">
        <f>1952</f>
        <v>1952</v>
      </c>
      <c r="R86" s="32" t="s">
        <v>818</v>
      </c>
      <c r="S86" s="33">
        <f>1909.9</f>
        <v>1909.9</v>
      </c>
      <c r="T86" s="30">
        <f>270212</f>
        <v>270212</v>
      </c>
      <c r="U86" s="30">
        <f>240</f>
        <v>240</v>
      </c>
      <c r="V86" s="30">
        <f>514727584</f>
        <v>514727584</v>
      </c>
      <c r="W86" s="30">
        <f>420600</f>
        <v>420600</v>
      </c>
      <c r="X86" s="34">
        <f>20</f>
        <v>20</v>
      </c>
    </row>
    <row r="87" spans="1:24" x14ac:dyDescent="0.15">
      <c r="A87" s="25" t="s">
        <v>1036</v>
      </c>
      <c r="B87" s="25" t="s">
        <v>297</v>
      </c>
      <c r="C87" s="25" t="s">
        <v>298</v>
      </c>
      <c r="D87" s="25" t="s">
        <v>299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13970</f>
        <v>13970</v>
      </c>
      <c r="L87" s="32" t="s">
        <v>907</v>
      </c>
      <c r="M87" s="31">
        <f>14745</f>
        <v>14745</v>
      </c>
      <c r="N87" s="32" t="s">
        <v>80</v>
      </c>
      <c r="O87" s="31">
        <f>13880</f>
        <v>13880</v>
      </c>
      <c r="P87" s="32" t="s">
        <v>907</v>
      </c>
      <c r="Q87" s="31">
        <f>14715</f>
        <v>14715</v>
      </c>
      <c r="R87" s="32" t="s">
        <v>818</v>
      </c>
      <c r="S87" s="33">
        <f>14499.25</f>
        <v>14499.25</v>
      </c>
      <c r="T87" s="30">
        <f>6629</f>
        <v>6629</v>
      </c>
      <c r="U87" s="30" t="str">
        <f>"－"</f>
        <v>－</v>
      </c>
      <c r="V87" s="30">
        <f>94843975</f>
        <v>94843975</v>
      </c>
      <c r="W87" s="30" t="str">
        <f>"－"</f>
        <v>－</v>
      </c>
      <c r="X87" s="34">
        <f>20</f>
        <v>20</v>
      </c>
    </row>
    <row r="88" spans="1:24" x14ac:dyDescent="0.15">
      <c r="A88" s="25" t="s">
        <v>1036</v>
      </c>
      <c r="B88" s="25" t="s">
        <v>300</v>
      </c>
      <c r="C88" s="25" t="s">
        <v>301</v>
      </c>
      <c r="D88" s="25" t="s">
        <v>302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8900</f>
        <v>8900</v>
      </c>
      <c r="L88" s="32" t="s">
        <v>907</v>
      </c>
      <c r="M88" s="31">
        <f>9210</f>
        <v>9210</v>
      </c>
      <c r="N88" s="32" t="s">
        <v>70</v>
      </c>
      <c r="O88" s="31">
        <f>8850</f>
        <v>8850</v>
      </c>
      <c r="P88" s="32" t="s">
        <v>818</v>
      </c>
      <c r="Q88" s="31">
        <f>8850</f>
        <v>8850</v>
      </c>
      <c r="R88" s="32" t="s">
        <v>818</v>
      </c>
      <c r="S88" s="33">
        <f>8910.65</f>
        <v>8910.65</v>
      </c>
      <c r="T88" s="30">
        <f>1319</f>
        <v>1319</v>
      </c>
      <c r="U88" s="30">
        <f>1</f>
        <v>1</v>
      </c>
      <c r="V88" s="30">
        <f>11763593</f>
        <v>11763593</v>
      </c>
      <c r="W88" s="30">
        <f>8957</f>
        <v>8957</v>
      </c>
      <c r="X88" s="34">
        <f>20</f>
        <v>20</v>
      </c>
    </row>
    <row r="89" spans="1:24" x14ac:dyDescent="0.15">
      <c r="A89" s="25" t="s">
        <v>1036</v>
      </c>
      <c r="B89" s="25" t="s">
        <v>303</v>
      </c>
      <c r="C89" s="25" t="s">
        <v>304</v>
      </c>
      <c r="D89" s="25" t="s">
        <v>305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7349</f>
        <v>7349</v>
      </c>
      <c r="L89" s="32" t="s">
        <v>907</v>
      </c>
      <c r="M89" s="31">
        <f>7603</f>
        <v>7603</v>
      </c>
      <c r="N89" s="32" t="s">
        <v>80</v>
      </c>
      <c r="O89" s="31">
        <f>7344</f>
        <v>7344</v>
      </c>
      <c r="P89" s="32" t="s">
        <v>907</v>
      </c>
      <c r="Q89" s="31">
        <f>7429</f>
        <v>7429</v>
      </c>
      <c r="R89" s="32" t="s">
        <v>818</v>
      </c>
      <c r="S89" s="33">
        <f>7489.55</f>
        <v>7489.55</v>
      </c>
      <c r="T89" s="30">
        <f>1453072</f>
        <v>1453072</v>
      </c>
      <c r="U89" s="30">
        <f>62840</f>
        <v>62840</v>
      </c>
      <c r="V89" s="30">
        <f>10875229306</f>
        <v>10875229306</v>
      </c>
      <c r="W89" s="30">
        <f>471143905</f>
        <v>471143905</v>
      </c>
      <c r="X89" s="34">
        <f>20</f>
        <v>20</v>
      </c>
    </row>
    <row r="90" spans="1:24" x14ac:dyDescent="0.15">
      <c r="A90" s="25" t="s">
        <v>1036</v>
      </c>
      <c r="B90" s="25" t="s">
        <v>306</v>
      </c>
      <c r="C90" s="25" t="s">
        <v>307</v>
      </c>
      <c r="D90" s="25" t="s">
        <v>308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3690</f>
        <v>3690</v>
      </c>
      <c r="L90" s="32" t="s">
        <v>907</v>
      </c>
      <c r="M90" s="31">
        <f>4090</f>
        <v>4090</v>
      </c>
      <c r="N90" s="32" t="s">
        <v>94</v>
      </c>
      <c r="O90" s="31">
        <f>3680</f>
        <v>3680</v>
      </c>
      <c r="P90" s="32" t="s">
        <v>907</v>
      </c>
      <c r="Q90" s="31">
        <f>4035</f>
        <v>4035</v>
      </c>
      <c r="R90" s="32" t="s">
        <v>818</v>
      </c>
      <c r="S90" s="33">
        <f>3885.75</f>
        <v>3885.75</v>
      </c>
      <c r="T90" s="30">
        <f>840269</f>
        <v>840269</v>
      </c>
      <c r="U90" s="30" t="str">
        <f>"－"</f>
        <v>－</v>
      </c>
      <c r="V90" s="30">
        <f>3296122515</f>
        <v>3296122515</v>
      </c>
      <c r="W90" s="30" t="str">
        <f>"－"</f>
        <v>－</v>
      </c>
      <c r="X90" s="34">
        <f>20</f>
        <v>20</v>
      </c>
    </row>
    <row r="91" spans="1:24" x14ac:dyDescent="0.15">
      <c r="A91" s="25" t="s">
        <v>1036</v>
      </c>
      <c r="B91" s="25" t="s">
        <v>309</v>
      </c>
      <c r="C91" s="25" t="s">
        <v>310</v>
      </c>
      <c r="D91" s="25" t="s">
        <v>311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8196</f>
        <v>8196</v>
      </c>
      <c r="L91" s="32" t="s">
        <v>907</v>
      </c>
      <c r="M91" s="31">
        <f>8899</f>
        <v>8899</v>
      </c>
      <c r="N91" s="32" t="s">
        <v>810</v>
      </c>
      <c r="O91" s="31">
        <f>8055</f>
        <v>8055</v>
      </c>
      <c r="P91" s="32" t="s">
        <v>819</v>
      </c>
      <c r="Q91" s="31">
        <f>8316</f>
        <v>8316</v>
      </c>
      <c r="R91" s="32" t="s">
        <v>818</v>
      </c>
      <c r="S91" s="33">
        <f>8405.1</f>
        <v>8405.1</v>
      </c>
      <c r="T91" s="30">
        <f>233121</f>
        <v>233121</v>
      </c>
      <c r="U91" s="30">
        <f>1001</f>
        <v>1001</v>
      </c>
      <c r="V91" s="30">
        <f>1968657147</f>
        <v>1968657147</v>
      </c>
      <c r="W91" s="30">
        <f>8960861</f>
        <v>8960861</v>
      </c>
      <c r="X91" s="34">
        <f>20</f>
        <v>20</v>
      </c>
    </row>
    <row r="92" spans="1:24" x14ac:dyDescent="0.15">
      <c r="A92" s="25" t="s">
        <v>1036</v>
      </c>
      <c r="B92" s="25" t="s">
        <v>312</v>
      </c>
      <c r="C92" s="25" t="s">
        <v>313</v>
      </c>
      <c r="D92" s="25" t="s">
        <v>314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88000</f>
        <v>88000</v>
      </c>
      <c r="L92" s="32" t="s">
        <v>907</v>
      </c>
      <c r="M92" s="31">
        <f>93200</f>
        <v>93200</v>
      </c>
      <c r="N92" s="32" t="s">
        <v>810</v>
      </c>
      <c r="O92" s="31">
        <f>83500</f>
        <v>83500</v>
      </c>
      <c r="P92" s="32" t="s">
        <v>818</v>
      </c>
      <c r="Q92" s="31">
        <f>84550</f>
        <v>84550</v>
      </c>
      <c r="R92" s="32" t="s">
        <v>818</v>
      </c>
      <c r="S92" s="33">
        <f>88031</f>
        <v>88031</v>
      </c>
      <c r="T92" s="30">
        <f>8023</f>
        <v>8023</v>
      </c>
      <c r="U92" s="30">
        <f>8</f>
        <v>8</v>
      </c>
      <c r="V92" s="30">
        <f>704981280</f>
        <v>704981280</v>
      </c>
      <c r="W92" s="30">
        <f>703300</f>
        <v>703300</v>
      </c>
      <c r="X92" s="34">
        <f>20</f>
        <v>20</v>
      </c>
    </row>
    <row r="93" spans="1:24" x14ac:dyDescent="0.15">
      <c r="A93" s="25" t="s">
        <v>1036</v>
      </c>
      <c r="B93" s="25" t="s">
        <v>315</v>
      </c>
      <c r="C93" s="25" t="s">
        <v>940</v>
      </c>
      <c r="D93" s="25" t="s">
        <v>941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15980</f>
        <v>15980</v>
      </c>
      <c r="L93" s="32" t="s">
        <v>907</v>
      </c>
      <c r="M93" s="31">
        <f>17300</f>
        <v>17300</v>
      </c>
      <c r="N93" s="32" t="s">
        <v>818</v>
      </c>
      <c r="O93" s="31">
        <f>15905</f>
        <v>15905</v>
      </c>
      <c r="P93" s="32" t="s">
        <v>907</v>
      </c>
      <c r="Q93" s="31">
        <f>17250</f>
        <v>17250</v>
      </c>
      <c r="R93" s="32" t="s">
        <v>818</v>
      </c>
      <c r="S93" s="33">
        <f>16717</f>
        <v>16717</v>
      </c>
      <c r="T93" s="30">
        <f>2122289</f>
        <v>2122289</v>
      </c>
      <c r="U93" s="30">
        <f>25471</f>
        <v>25471</v>
      </c>
      <c r="V93" s="30">
        <f>35550801688</f>
        <v>35550801688</v>
      </c>
      <c r="W93" s="30">
        <f>434738228</f>
        <v>434738228</v>
      </c>
      <c r="X93" s="34">
        <f>20</f>
        <v>20</v>
      </c>
    </row>
    <row r="94" spans="1:24" x14ac:dyDescent="0.15">
      <c r="A94" s="25" t="s">
        <v>1036</v>
      </c>
      <c r="B94" s="25" t="s">
        <v>318</v>
      </c>
      <c r="C94" s="25" t="s">
        <v>942</v>
      </c>
      <c r="D94" s="25" t="s">
        <v>943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40410</f>
        <v>40410</v>
      </c>
      <c r="L94" s="32" t="s">
        <v>907</v>
      </c>
      <c r="M94" s="31">
        <f>47330</f>
        <v>47330</v>
      </c>
      <c r="N94" s="32" t="s">
        <v>818</v>
      </c>
      <c r="O94" s="31">
        <f>40220</f>
        <v>40220</v>
      </c>
      <c r="P94" s="32" t="s">
        <v>907</v>
      </c>
      <c r="Q94" s="31">
        <f>47210</f>
        <v>47210</v>
      </c>
      <c r="R94" s="32" t="s">
        <v>818</v>
      </c>
      <c r="S94" s="33">
        <f>43628</f>
        <v>43628</v>
      </c>
      <c r="T94" s="30">
        <f>222495</f>
        <v>222495</v>
      </c>
      <c r="U94" s="30">
        <f>28008</f>
        <v>28008</v>
      </c>
      <c r="V94" s="30">
        <f>9748127130</f>
        <v>9748127130</v>
      </c>
      <c r="W94" s="30">
        <f>1222521060</f>
        <v>1222521060</v>
      </c>
      <c r="X94" s="34">
        <f>20</f>
        <v>20</v>
      </c>
    </row>
    <row r="95" spans="1:24" x14ac:dyDescent="0.15">
      <c r="A95" s="25" t="s">
        <v>1036</v>
      </c>
      <c r="B95" s="25" t="s">
        <v>321</v>
      </c>
      <c r="C95" s="25" t="s">
        <v>322</v>
      </c>
      <c r="D95" s="25" t="s">
        <v>323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5659</f>
        <v>5659</v>
      </c>
      <c r="L95" s="32" t="s">
        <v>907</v>
      </c>
      <c r="M95" s="31">
        <f>6309</f>
        <v>6309</v>
      </c>
      <c r="N95" s="32" t="s">
        <v>818</v>
      </c>
      <c r="O95" s="31">
        <f>5633</f>
        <v>5633</v>
      </c>
      <c r="P95" s="32" t="s">
        <v>907</v>
      </c>
      <c r="Q95" s="31">
        <f>6299</f>
        <v>6299</v>
      </c>
      <c r="R95" s="32" t="s">
        <v>818</v>
      </c>
      <c r="S95" s="33">
        <f>5987.65</f>
        <v>5987.65</v>
      </c>
      <c r="T95" s="30">
        <f>1940790</f>
        <v>1940790</v>
      </c>
      <c r="U95" s="30">
        <f>40850</f>
        <v>40850</v>
      </c>
      <c r="V95" s="30">
        <f>11620463316</f>
        <v>11620463316</v>
      </c>
      <c r="W95" s="30">
        <f>250071626</f>
        <v>250071626</v>
      </c>
      <c r="X95" s="34">
        <f>20</f>
        <v>20</v>
      </c>
    </row>
    <row r="96" spans="1:24" x14ac:dyDescent="0.15">
      <c r="A96" s="25" t="s">
        <v>1036</v>
      </c>
      <c r="B96" s="25" t="s">
        <v>324</v>
      </c>
      <c r="C96" s="25" t="s">
        <v>325</v>
      </c>
      <c r="D96" s="25" t="s">
        <v>326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3548</f>
        <v>3548</v>
      </c>
      <c r="L96" s="32" t="s">
        <v>907</v>
      </c>
      <c r="M96" s="31">
        <f>3940</f>
        <v>3940</v>
      </c>
      <c r="N96" s="32" t="s">
        <v>818</v>
      </c>
      <c r="O96" s="31">
        <f>3533</f>
        <v>3533</v>
      </c>
      <c r="P96" s="32" t="s">
        <v>907</v>
      </c>
      <c r="Q96" s="31">
        <f>3930</f>
        <v>3930</v>
      </c>
      <c r="R96" s="32" t="s">
        <v>818</v>
      </c>
      <c r="S96" s="33">
        <f>3749.65</f>
        <v>3749.65</v>
      </c>
      <c r="T96" s="30">
        <f>93060</f>
        <v>93060</v>
      </c>
      <c r="U96" s="30" t="str">
        <f>"－"</f>
        <v>－</v>
      </c>
      <c r="V96" s="30">
        <f>348262670</f>
        <v>348262670</v>
      </c>
      <c r="W96" s="30" t="str">
        <f>"－"</f>
        <v>－</v>
      </c>
      <c r="X96" s="34">
        <f>20</f>
        <v>20</v>
      </c>
    </row>
    <row r="97" spans="1:24" x14ac:dyDescent="0.15">
      <c r="A97" s="25" t="s">
        <v>1036</v>
      </c>
      <c r="B97" s="25" t="s">
        <v>327</v>
      </c>
      <c r="C97" s="25" t="s">
        <v>1037</v>
      </c>
      <c r="D97" s="25" t="s">
        <v>1038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4063</f>
        <v>4063</v>
      </c>
      <c r="L97" s="32" t="s">
        <v>907</v>
      </c>
      <c r="M97" s="31">
        <f>4259</f>
        <v>4259</v>
      </c>
      <c r="N97" s="32" t="s">
        <v>818</v>
      </c>
      <c r="O97" s="31">
        <f>4030</f>
        <v>4030</v>
      </c>
      <c r="P97" s="32" t="s">
        <v>907</v>
      </c>
      <c r="Q97" s="31">
        <f>4255</f>
        <v>4255</v>
      </c>
      <c r="R97" s="32" t="s">
        <v>818</v>
      </c>
      <c r="S97" s="33">
        <f>4153.5</f>
        <v>4153.5</v>
      </c>
      <c r="T97" s="30">
        <f>7060</f>
        <v>7060</v>
      </c>
      <c r="U97" s="30" t="str">
        <f>"－"</f>
        <v>－</v>
      </c>
      <c r="V97" s="30">
        <f>29305340</f>
        <v>29305340</v>
      </c>
      <c r="W97" s="30" t="str">
        <f>"－"</f>
        <v>－</v>
      </c>
      <c r="X97" s="34">
        <f>20</f>
        <v>20</v>
      </c>
    </row>
    <row r="98" spans="1:24" x14ac:dyDescent="0.15">
      <c r="A98" s="25" t="s">
        <v>1036</v>
      </c>
      <c r="B98" s="25" t="s">
        <v>330</v>
      </c>
      <c r="C98" s="25" t="s">
        <v>331</v>
      </c>
      <c r="D98" s="25" t="s">
        <v>332</v>
      </c>
      <c r="E98" s="26" t="s">
        <v>45</v>
      </c>
      <c r="F98" s="27" t="s">
        <v>45</v>
      </c>
      <c r="G98" s="28" t="s">
        <v>45</v>
      </c>
      <c r="H98" s="29" t="s">
        <v>333</v>
      </c>
      <c r="I98" s="29" t="s">
        <v>46</v>
      </c>
      <c r="J98" s="30">
        <v>1</v>
      </c>
      <c r="K98" s="31">
        <f>2468</f>
        <v>2468</v>
      </c>
      <c r="L98" s="32" t="s">
        <v>907</v>
      </c>
      <c r="M98" s="31">
        <f>2539</f>
        <v>2539</v>
      </c>
      <c r="N98" s="32" t="s">
        <v>813</v>
      </c>
      <c r="O98" s="31">
        <f>2122</f>
        <v>2122</v>
      </c>
      <c r="P98" s="32" t="s">
        <v>818</v>
      </c>
      <c r="Q98" s="31">
        <f>2135</f>
        <v>2135</v>
      </c>
      <c r="R98" s="32" t="s">
        <v>818</v>
      </c>
      <c r="S98" s="33">
        <f>2364.8</f>
        <v>2364.8000000000002</v>
      </c>
      <c r="T98" s="30">
        <f>29563580</f>
        <v>29563580</v>
      </c>
      <c r="U98" s="30">
        <f>19619</f>
        <v>19619</v>
      </c>
      <c r="V98" s="30">
        <f>70208675787</f>
        <v>70208675787</v>
      </c>
      <c r="W98" s="30">
        <f>48714076</f>
        <v>48714076</v>
      </c>
      <c r="X98" s="34">
        <f>20</f>
        <v>20</v>
      </c>
    </row>
    <row r="99" spans="1:24" x14ac:dyDescent="0.15">
      <c r="A99" s="25" t="s">
        <v>1036</v>
      </c>
      <c r="B99" s="25" t="s">
        <v>334</v>
      </c>
      <c r="C99" s="25" t="s">
        <v>335</v>
      </c>
      <c r="D99" s="25" t="s">
        <v>336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3015</f>
        <v>3015</v>
      </c>
      <c r="L99" s="32" t="s">
        <v>907</v>
      </c>
      <c r="M99" s="31">
        <f>3300</f>
        <v>3300</v>
      </c>
      <c r="N99" s="32" t="s">
        <v>818</v>
      </c>
      <c r="O99" s="31">
        <f>2996</f>
        <v>2996</v>
      </c>
      <c r="P99" s="32" t="s">
        <v>907</v>
      </c>
      <c r="Q99" s="31">
        <f>3291</f>
        <v>3291</v>
      </c>
      <c r="R99" s="32" t="s">
        <v>818</v>
      </c>
      <c r="S99" s="33">
        <f>3165.8</f>
        <v>3165.8</v>
      </c>
      <c r="T99" s="30">
        <f>116360</f>
        <v>116360</v>
      </c>
      <c r="U99" s="30" t="str">
        <f>"－"</f>
        <v>－</v>
      </c>
      <c r="V99" s="30">
        <f>366541270</f>
        <v>366541270</v>
      </c>
      <c r="W99" s="30" t="str">
        <f>"－"</f>
        <v>－</v>
      </c>
      <c r="X99" s="34">
        <f>20</f>
        <v>20</v>
      </c>
    </row>
    <row r="100" spans="1:24" x14ac:dyDescent="0.15">
      <c r="A100" s="25" t="s">
        <v>1036</v>
      </c>
      <c r="B100" s="25" t="s">
        <v>337</v>
      </c>
      <c r="C100" s="25" t="s">
        <v>338</v>
      </c>
      <c r="D100" s="25" t="s">
        <v>339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1528.5</f>
        <v>1528.5</v>
      </c>
      <c r="L100" s="32" t="s">
        <v>907</v>
      </c>
      <c r="M100" s="31">
        <f>1684.5</f>
        <v>1684.5</v>
      </c>
      <c r="N100" s="32" t="s">
        <v>818</v>
      </c>
      <c r="O100" s="31">
        <f>1495</f>
        <v>1495</v>
      </c>
      <c r="P100" s="32" t="s">
        <v>821</v>
      </c>
      <c r="Q100" s="31">
        <f>1681</f>
        <v>1681</v>
      </c>
      <c r="R100" s="32" t="s">
        <v>818</v>
      </c>
      <c r="S100" s="33">
        <f>1585.25</f>
        <v>1585.25</v>
      </c>
      <c r="T100" s="30">
        <f>166660</f>
        <v>166660</v>
      </c>
      <c r="U100" s="30" t="str">
        <f>"－"</f>
        <v>－</v>
      </c>
      <c r="V100" s="30">
        <f>263038595</f>
        <v>263038595</v>
      </c>
      <c r="W100" s="30" t="str">
        <f>"－"</f>
        <v>－</v>
      </c>
      <c r="X100" s="34">
        <f>20</f>
        <v>20</v>
      </c>
    </row>
    <row r="101" spans="1:24" x14ac:dyDescent="0.15">
      <c r="A101" s="25" t="s">
        <v>1036</v>
      </c>
      <c r="B101" s="25" t="s">
        <v>340</v>
      </c>
      <c r="C101" s="25" t="s">
        <v>341</v>
      </c>
      <c r="D101" s="25" t="s">
        <v>342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51570</f>
        <v>51570</v>
      </c>
      <c r="L101" s="32" t="s">
        <v>907</v>
      </c>
      <c r="M101" s="31">
        <f>57530</f>
        <v>57530</v>
      </c>
      <c r="N101" s="32" t="s">
        <v>818</v>
      </c>
      <c r="O101" s="31">
        <f>51360</f>
        <v>51360</v>
      </c>
      <c r="P101" s="32" t="s">
        <v>907</v>
      </c>
      <c r="Q101" s="31">
        <f>57450</f>
        <v>57450</v>
      </c>
      <c r="R101" s="32" t="s">
        <v>818</v>
      </c>
      <c r="S101" s="33">
        <f>54597</f>
        <v>54597</v>
      </c>
      <c r="T101" s="30">
        <f>172505</f>
        <v>172505</v>
      </c>
      <c r="U101" s="30">
        <f>18055</f>
        <v>18055</v>
      </c>
      <c r="V101" s="30">
        <f>9429257303</f>
        <v>9429257303</v>
      </c>
      <c r="W101" s="30">
        <f>1009045223</f>
        <v>1009045223</v>
      </c>
      <c r="X101" s="34">
        <f>20</f>
        <v>20</v>
      </c>
    </row>
    <row r="102" spans="1:24" x14ac:dyDescent="0.15">
      <c r="A102" s="25" t="s">
        <v>1036</v>
      </c>
      <c r="B102" s="25" t="s">
        <v>343</v>
      </c>
      <c r="C102" s="25" t="s">
        <v>344</v>
      </c>
      <c r="D102" s="25" t="s">
        <v>345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3175</f>
        <v>3175</v>
      </c>
      <c r="L102" s="32" t="s">
        <v>907</v>
      </c>
      <c r="M102" s="31">
        <f>3290</f>
        <v>3290</v>
      </c>
      <c r="N102" s="32" t="s">
        <v>814</v>
      </c>
      <c r="O102" s="31">
        <f>3140</f>
        <v>3140</v>
      </c>
      <c r="P102" s="32" t="s">
        <v>821</v>
      </c>
      <c r="Q102" s="31">
        <f>3185</f>
        <v>3185</v>
      </c>
      <c r="R102" s="32" t="s">
        <v>818</v>
      </c>
      <c r="S102" s="33">
        <f>3174</f>
        <v>3174</v>
      </c>
      <c r="T102" s="30">
        <f>15961</f>
        <v>15961</v>
      </c>
      <c r="U102" s="30" t="str">
        <f>"－"</f>
        <v>－</v>
      </c>
      <c r="V102" s="30">
        <f>50460660</f>
        <v>50460660</v>
      </c>
      <c r="W102" s="30" t="str">
        <f>"－"</f>
        <v>－</v>
      </c>
      <c r="X102" s="34">
        <f>20</f>
        <v>20</v>
      </c>
    </row>
    <row r="103" spans="1:24" x14ac:dyDescent="0.15">
      <c r="A103" s="25" t="s">
        <v>1036</v>
      </c>
      <c r="B103" s="25" t="s">
        <v>346</v>
      </c>
      <c r="C103" s="25" t="s">
        <v>347</v>
      </c>
      <c r="D103" s="25" t="s">
        <v>348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4230</f>
        <v>4230</v>
      </c>
      <c r="L103" s="32" t="s">
        <v>907</v>
      </c>
      <c r="M103" s="31">
        <f>4250</f>
        <v>4250</v>
      </c>
      <c r="N103" s="32" t="s">
        <v>815</v>
      </c>
      <c r="O103" s="31">
        <f>4080</f>
        <v>4080</v>
      </c>
      <c r="P103" s="32" t="s">
        <v>813</v>
      </c>
      <c r="Q103" s="31">
        <f>4235</f>
        <v>4235</v>
      </c>
      <c r="R103" s="32" t="s">
        <v>818</v>
      </c>
      <c r="S103" s="33">
        <f>4150.25</f>
        <v>4150.25</v>
      </c>
      <c r="T103" s="30">
        <f>9727</f>
        <v>9727</v>
      </c>
      <c r="U103" s="30" t="str">
        <f>"－"</f>
        <v>－</v>
      </c>
      <c r="V103" s="30">
        <f>40071270</f>
        <v>40071270</v>
      </c>
      <c r="W103" s="30" t="str">
        <f>"－"</f>
        <v>－</v>
      </c>
      <c r="X103" s="34">
        <f>20</f>
        <v>20</v>
      </c>
    </row>
    <row r="104" spans="1:24" x14ac:dyDescent="0.15">
      <c r="A104" s="25" t="s">
        <v>1036</v>
      </c>
      <c r="B104" s="25" t="s">
        <v>349</v>
      </c>
      <c r="C104" s="25" t="s">
        <v>1039</v>
      </c>
      <c r="D104" s="25" t="s">
        <v>1040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2186</f>
        <v>2186</v>
      </c>
      <c r="L104" s="32" t="s">
        <v>907</v>
      </c>
      <c r="M104" s="31">
        <f>2420</f>
        <v>2420</v>
      </c>
      <c r="N104" s="32" t="s">
        <v>818</v>
      </c>
      <c r="O104" s="31">
        <f>2151</f>
        <v>2151</v>
      </c>
      <c r="P104" s="32" t="s">
        <v>56</v>
      </c>
      <c r="Q104" s="31">
        <f>2359</f>
        <v>2359</v>
      </c>
      <c r="R104" s="32" t="s">
        <v>818</v>
      </c>
      <c r="S104" s="33">
        <f>2279.9</f>
        <v>2279.9</v>
      </c>
      <c r="T104" s="30">
        <f>759033</f>
        <v>759033</v>
      </c>
      <c r="U104" s="30">
        <f>20</f>
        <v>20</v>
      </c>
      <c r="V104" s="30">
        <f>1730456661</f>
        <v>1730456661</v>
      </c>
      <c r="W104" s="30">
        <f>45515</f>
        <v>45515</v>
      </c>
      <c r="X104" s="34">
        <f>20</f>
        <v>20</v>
      </c>
    </row>
    <row r="105" spans="1:24" x14ac:dyDescent="0.15">
      <c r="A105" s="25" t="s">
        <v>1036</v>
      </c>
      <c r="B105" s="25" t="s">
        <v>352</v>
      </c>
      <c r="C105" s="25" t="s">
        <v>353</v>
      </c>
      <c r="D105" s="25" t="s">
        <v>354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42950</f>
        <v>42950</v>
      </c>
      <c r="L105" s="32" t="s">
        <v>907</v>
      </c>
      <c r="M105" s="31">
        <f>44100</f>
        <v>44100</v>
      </c>
      <c r="N105" s="32" t="s">
        <v>816</v>
      </c>
      <c r="O105" s="31">
        <f>42850</f>
        <v>42850</v>
      </c>
      <c r="P105" s="32" t="s">
        <v>907</v>
      </c>
      <c r="Q105" s="31">
        <f>43560</f>
        <v>43560</v>
      </c>
      <c r="R105" s="32" t="s">
        <v>818</v>
      </c>
      <c r="S105" s="33">
        <f>43510</f>
        <v>43510</v>
      </c>
      <c r="T105" s="30">
        <f>7187</f>
        <v>7187</v>
      </c>
      <c r="U105" s="30">
        <f>1148</f>
        <v>1148</v>
      </c>
      <c r="V105" s="30">
        <f>312524441</f>
        <v>312524441</v>
      </c>
      <c r="W105" s="30">
        <f>49937081</f>
        <v>49937081</v>
      </c>
      <c r="X105" s="34">
        <f>20</f>
        <v>20</v>
      </c>
    </row>
    <row r="106" spans="1:24" x14ac:dyDescent="0.15">
      <c r="A106" s="25" t="s">
        <v>1036</v>
      </c>
      <c r="B106" s="25" t="s">
        <v>355</v>
      </c>
      <c r="C106" s="25" t="s">
        <v>356</v>
      </c>
      <c r="D106" s="25" t="s">
        <v>357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21475</f>
        <v>21475</v>
      </c>
      <c r="L106" s="32" t="s">
        <v>907</v>
      </c>
      <c r="M106" s="31">
        <f>23960</f>
        <v>23960</v>
      </c>
      <c r="N106" s="32" t="s">
        <v>80</v>
      </c>
      <c r="O106" s="31">
        <f>21180</f>
        <v>21180</v>
      </c>
      <c r="P106" s="32" t="s">
        <v>907</v>
      </c>
      <c r="Q106" s="31">
        <f>23800</f>
        <v>23800</v>
      </c>
      <c r="R106" s="32" t="s">
        <v>818</v>
      </c>
      <c r="S106" s="33">
        <f>23038.75</f>
        <v>23038.75</v>
      </c>
      <c r="T106" s="30">
        <f>2845670</f>
        <v>2845670</v>
      </c>
      <c r="U106" s="30">
        <f>260</f>
        <v>260</v>
      </c>
      <c r="V106" s="30">
        <f>65448303750</f>
        <v>65448303750</v>
      </c>
      <c r="W106" s="30">
        <f>6008450</f>
        <v>6008450</v>
      </c>
      <c r="X106" s="34">
        <f>20</f>
        <v>20</v>
      </c>
    </row>
    <row r="107" spans="1:24" x14ac:dyDescent="0.15">
      <c r="A107" s="25" t="s">
        <v>1036</v>
      </c>
      <c r="B107" s="25" t="s">
        <v>358</v>
      </c>
      <c r="C107" s="25" t="s">
        <v>359</v>
      </c>
      <c r="D107" s="25" t="s">
        <v>360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2170</f>
        <v>2170</v>
      </c>
      <c r="L107" s="32" t="s">
        <v>907</v>
      </c>
      <c r="M107" s="31">
        <f>2180</f>
        <v>2180</v>
      </c>
      <c r="N107" s="32" t="s">
        <v>907</v>
      </c>
      <c r="O107" s="31">
        <f>2047</f>
        <v>2047</v>
      </c>
      <c r="P107" s="32" t="s">
        <v>818</v>
      </c>
      <c r="Q107" s="31">
        <f>2047</f>
        <v>2047</v>
      </c>
      <c r="R107" s="32" t="s">
        <v>818</v>
      </c>
      <c r="S107" s="33">
        <f>2086.5</f>
        <v>2086.5</v>
      </c>
      <c r="T107" s="30">
        <f>118640</f>
        <v>118640</v>
      </c>
      <c r="U107" s="30" t="str">
        <f>"－"</f>
        <v>－</v>
      </c>
      <c r="V107" s="30">
        <f>247325520</f>
        <v>247325520</v>
      </c>
      <c r="W107" s="30" t="str">
        <f>"－"</f>
        <v>－</v>
      </c>
      <c r="X107" s="34">
        <f>20</f>
        <v>20</v>
      </c>
    </row>
    <row r="108" spans="1:24" x14ac:dyDescent="0.15">
      <c r="A108" s="25" t="s">
        <v>1036</v>
      </c>
      <c r="B108" s="25" t="s">
        <v>361</v>
      </c>
      <c r="C108" s="25" t="s">
        <v>362</v>
      </c>
      <c r="D108" s="25" t="s">
        <v>363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12490</f>
        <v>12490</v>
      </c>
      <c r="L108" s="32" t="s">
        <v>907</v>
      </c>
      <c r="M108" s="31">
        <f>14290</f>
        <v>14290</v>
      </c>
      <c r="N108" s="32" t="s">
        <v>812</v>
      </c>
      <c r="O108" s="31">
        <f>12380</f>
        <v>12380</v>
      </c>
      <c r="P108" s="32" t="s">
        <v>907</v>
      </c>
      <c r="Q108" s="31">
        <f>14275</f>
        <v>14275</v>
      </c>
      <c r="R108" s="32" t="s">
        <v>818</v>
      </c>
      <c r="S108" s="33">
        <f>13700.25</f>
        <v>13700.25</v>
      </c>
      <c r="T108" s="30">
        <f>230710620</f>
        <v>230710620</v>
      </c>
      <c r="U108" s="30">
        <f>208340</f>
        <v>208340</v>
      </c>
      <c r="V108" s="30">
        <f>3156571240078</f>
        <v>3156571240078</v>
      </c>
      <c r="W108" s="30">
        <f>2860317853</f>
        <v>2860317853</v>
      </c>
      <c r="X108" s="34">
        <f>20</f>
        <v>20</v>
      </c>
    </row>
    <row r="109" spans="1:24" x14ac:dyDescent="0.15">
      <c r="A109" s="25" t="s">
        <v>1036</v>
      </c>
      <c r="B109" s="25" t="s">
        <v>364</v>
      </c>
      <c r="C109" s="25" t="s">
        <v>365</v>
      </c>
      <c r="D109" s="25" t="s">
        <v>366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1034</f>
        <v>1034</v>
      </c>
      <c r="L109" s="32" t="s">
        <v>907</v>
      </c>
      <c r="M109" s="31">
        <f>1039</f>
        <v>1039</v>
      </c>
      <c r="N109" s="32" t="s">
        <v>907</v>
      </c>
      <c r="O109" s="31">
        <f>959</f>
        <v>959</v>
      </c>
      <c r="P109" s="32" t="s">
        <v>818</v>
      </c>
      <c r="Q109" s="31">
        <f>960</f>
        <v>960</v>
      </c>
      <c r="R109" s="32" t="s">
        <v>818</v>
      </c>
      <c r="S109" s="33">
        <f>983.05</f>
        <v>983.05</v>
      </c>
      <c r="T109" s="30">
        <f>48603967</f>
        <v>48603967</v>
      </c>
      <c r="U109" s="30">
        <f>1100000</f>
        <v>1100000</v>
      </c>
      <c r="V109" s="30">
        <f>47754904263</f>
        <v>47754904263</v>
      </c>
      <c r="W109" s="30">
        <f>1104290000</f>
        <v>1104290000</v>
      </c>
      <c r="X109" s="34">
        <f>20</f>
        <v>20</v>
      </c>
    </row>
    <row r="110" spans="1:24" x14ac:dyDescent="0.15">
      <c r="A110" s="25" t="s">
        <v>1036</v>
      </c>
      <c r="B110" s="25" t="s">
        <v>367</v>
      </c>
      <c r="C110" s="25" t="s">
        <v>368</v>
      </c>
      <c r="D110" s="25" t="s">
        <v>369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4234</f>
        <v>4234</v>
      </c>
      <c r="L110" s="32" t="s">
        <v>907</v>
      </c>
      <c r="M110" s="31">
        <f>4790</f>
        <v>4790</v>
      </c>
      <c r="N110" s="32" t="s">
        <v>80</v>
      </c>
      <c r="O110" s="31">
        <f>3010</f>
        <v>3010</v>
      </c>
      <c r="P110" s="32" t="s">
        <v>818</v>
      </c>
      <c r="Q110" s="31">
        <f>3162</f>
        <v>3162</v>
      </c>
      <c r="R110" s="32" t="s">
        <v>818</v>
      </c>
      <c r="S110" s="33">
        <f>3909.25</f>
        <v>3909.25</v>
      </c>
      <c r="T110" s="30">
        <f>492190</f>
        <v>492190</v>
      </c>
      <c r="U110" s="30" t="str">
        <f>"－"</f>
        <v>－</v>
      </c>
      <c r="V110" s="30">
        <f>1788573330</f>
        <v>1788573330</v>
      </c>
      <c r="W110" s="30" t="str">
        <f>"－"</f>
        <v>－</v>
      </c>
      <c r="X110" s="34">
        <f>20</f>
        <v>20</v>
      </c>
    </row>
    <row r="111" spans="1:24" x14ac:dyDescent="0.15">
      <c r="A111" s="25" t="s">
        <v>1036</v>
      </c>
      <c r="B111" s="25" t="s">
        <v>370</v>
      </c>
      <c r="C111" s="25" t="s">
        <v>371</v>
      </c>
      <c r="D111" s="25" t="s">
        <v>372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13315</f>
        <v>13315</v>
      </c>
      <c r="L111" s="32" t="s">
        <v>907</v>
      </c>
      <c r="M111" s="31">
        <f>15995</f>
        <v>15995</v>
      </c>
      <c r="N111" s="32" t="s">
        <v>815</v>
      </c>
      <c r="O111" s="31">
        <f>12365</f>
        <v>12365</v>
      </c>
      <c r="P111" s="32" t="s">
        <v>810</v>
      </c>
      <c r="Q111" s="31">
        <f>15710</f>
        <v>15710</v>
      </c>
      <c r="R111" s="32" t="s">
        <v>818</v>
      </c>
      <c r="S111" s="33">
        <f>14163</f>
        <v>14163</v>
      </c>
      <c r="T111" s="30">
        <f>71620</f>
        <v>71620</v>
      </c>
      <c r="U111" s="30" t="str">
        <f>"－"</f>
        <v>－</v>
      </c>
      <c r="V111" s="30">
        <f>1043316800</f>
        <v>1043316800</v>
      </c>
      <c r="W111" s="30" t="str">
        <f>"－"</f>
        <v>－</v>
      </c>
      <c r="X111" s="34">
        <f>20</f>
        <v>20</v>
      </c>
    </row>
    <row r="112" spans="1:24" x14ac:dyDescent="0.15">
      <c r="A112" s="25" t="s">
        <v>1036</v>
      </c>
      <c r="B112" s="25" t="s">
        <v>373</v>
      </c>
      <c r="C112" s="25" t="s">
        <v>374</v>
      </c>
      <c r="D112" s="25" t="s">
        <v>375</v>
      </c>
      <c r="E112" s="26" t="s">
        <v>45</v>
      </c>
      <c r="F112" s="27" t="s">
        <v>45</v>
      </c>
      <c r="G112" s="28" t="s">
        <v>45</v>
      </c>
      <c r="H112" s="29" t="s">
        <v>910</v>
      </c>
      <c r="I112" s="29"/>
      <c r="J112" s="30">
        <v>10</v>
      </c>
      <c r="K112" s="31">
        <f>714.9</f>
        <v>714.9</v>
      </c>
      <c r="L112" s="32" t="s">
        <v>907</v>
      </c>
      <c r="M112" s="31">
        <f>784</f>
        <v>784</v>
      </c>
      <c r="N112" s="32" t="s">
        <v>80</v>
      </c>
      <c r="O112" s="31">
        <f>698.9</f>
        <v>698.9</v>
      </c>
      <c r="P112" s="32" t="s">
        <v>818</v>
      </c>
      <c r="Q112" s="31">
        <f>706</f>
        <v>706</v>
      </c>
      <c r="R112" s="32" t="s">
        <v>818</v>
      </c>
      <c r="S112" s="33">
        <f>744.32</f>
        <v>744.32</v>
      </c>
      <c r="T112" s="30">
        <f>23770</f>
        <v>23770</v>
      </c>
      <c r="U112" s="30">
        <f>10</f>
        <v>10</v>
      </c>
      <c r="V112" s="30">
        <f>17883063</f>
        <v>17883063</v>
      </c>
      <c r="W112" s="30">
        <f>7571</f>
        <v>7571</v>
      </c>
      <c r="X112" s="34">
        <f>18</f>
        <v>18</v>
      </c>
    </row>
    <row r="113" spans="1:24" x14ac:dyDescent="0.15">
      <c r="A113" s="25" t="s">
        <v>1036</v>
      </c>
      <c r="B113" s="25" t="s">
        <v>376</v>
      </c>
      <c r="C113" s="25" t="s">
        <v>377</v>
      </c>
      <c r="D113" s="25" t="s">
        <v>378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23595</f>
        <v>23595</v>
      </c>
      <c r="L113" s="32" t="s">
        <v>907</v>
      </c>
      <c r="M113" s="31">
        <f>24785</f>
        <v>24785</v>
      </c>
      <c r="N113" s="32" t="s">
        <v>810</v>
      </c>
      <c r="O113" s="31">
        <f>23400</f>
        <v>23400</v>
      </c>
      <c r="P113" s="32" t="s">
        <v>907</v>
      </c>
      <c r="Q113" s="31">
        <f>24025</f>
        <v>24025</v>
      </c>
      <c r="R113" s="32" t="s">
        <v>818</v>
      </c>
      <c r="S113" s="33">
        <f>23929.25</f>
        <v>23929.25</v>
      </c>
      <c r="T113" s="30">
        <f>62708</f>
        <v>62708</v>
      </c>
      <c r="U113" s="30">
        <f>4181</f>
        <v>4181</v>
      </c>
      <c r="V113" s="30">
        <f>1501010744</f>
        <v>1501010744</v>
      </c>
      <c r="W113" s="30">
        <f>99856029</f>
        <v>99856029</v>
      </c>
      <c r="X113" s="34">
        <f>20</f>
        <v>20</v>
      </c>
    </row>
    <row r="114" spans="1:24" x14ac:dyDescent="0.15">
      <c r="A114" s="25" t="s">
        <v>1036</v>
      </c>
      <c r="B114" s="25" t="s">
        <v>379</v>
      </c>
      <c r="C114" s="25" t="s">
        <v>380</v>
      </c>
      <c r="D114" s="25" t="s">
        <v>381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2079</f>
        <v>2079</v>
      </c>
      <c r="L114" s="32" t="s">
        <v>907</v>
      </c>
      <c r="M114" s="31">
        <f>2217</f>
        <v>2217</v>
      </c>
      <c r="N114" s="32" t="s">
        <v>818</v>
      </c>
      <c r="O114" s="31">
        <f>2066</f>
        <v>2066</v>
      </c>
      <c r="P114" s="32" t="s">
        <v>907</v>
      </c>
      <c r="Q114" s="31">
        <f>2217</f>
        <v>2217</v>
      </c>
      <c r="R114" s="32" t="s">
        <v>818</v>
      </c>
      <c r="S114" s="33">
        <f>2169.4</f>
        <v>2169.4</v>
      </c>
      <c r="T114" s="30">
        <f>59225</f>
        <v>59225</v>
      </c>
      <c r="U114" s="30">
        <f>3</f>
        <v>3</v>
      </c>
      <c r="V114" s="30">
        <f>128442585</f>
        <v>128442585</v>
      </c>
      <c r="W114" s="30">
        <f>6417</f>
        <v>6417</v>
      </c>
      <c r="X114" s="34">
        <f>20</f>
        <v>20</v>
      </c>
    </row>
    <row r="115" spans="1:24" x14ac:dyDescent="0.15">
      <c r="A115" s="25" t="s">
        <v>1036</v>
      </c>
      <c r="B115" s="25" t="s">
        <v>382</v>
      </c>
      <c r="C115" s="25" t="s">
        <v>383</v>
      </c>
      <c r="D115" s="25" t="s">
        <v>384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13375</f>
        <v>13375</v>
      </c>
      <c r="L115" s="32" t="s">
        <v>907</v>
      </c>
      <c r="M115" s="31">
        <f>15305</f>
        <v>15305</v>
      </c>
      <c r="N115" s="32" t="s">
        <v>812</v>
      </c>
      <c r="O115" s="31">
        <f>13255</f>
        <v>13255</v>
      </c>
      <c r="P115" s="32" t="s">
        <v>907</v>
      </c>
      <c r="Q115" s="31">
        <f>15290</f>
        <v>15290</v>
      </c>
      <c r="R115" s="32" t="s">
        <v>818</v>
      </c>
      <c r="S115" s="33">
        <f>14667.5</f>
        <v>14667.5</v>
      </c>
      <c r="T115" s="30">
        <f>21897700</f>
        <v>21897700</v>
      </c>
      <c r="U115" s="30">
        <f>161550</f>
        <v>161550</v>
      </c>
      <c r="V115" s="30">
        <f>320887542460</f>
        <v>320887542460</v>
      </c>
      <c r="W115" s="30">
        <f>2378732010</f>
        <v>2378732010</v>
      </c>
      <c r="X115" s="34">
        <f>20</f>
        <v>20</v>
      </c>
    </row>
    <row r="116" spans="1:24" x14ac:dyDescent="0.15">
      <c r="A116" s="25" t="s">
        <v>1036</v>
      </c>
      <c r="B116" s="25" t="s">
        <v>385</v>
      </c>
      <c r="C116" s="25" t="s">
        <v>386</v>
      </c>
      <c r="D116" s="25" t="s">
        <v>387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2746</f>
        <v>2746</v>
      </c>
      <c r="L116" s="32" t="s">
        <v>907</v>
      </c>
      <c r="M116" s="31">
        <f>2756.5</f>
        <v>2756.5</v>
      </c>
      <c r="N116" s="32" t="s">
        <v>907</v>
      </c>
      <c r="O116" s="31">
        <f>2550</f>
        <v>2550</v>
      </c>
      <c r="P116" s="32" t="s">
        <v>818</v>
      </c>
      <c r="Q116" s="31">
        <f>2551.5</f>
        <v>2551.5</v>
      </c>
      <c r="R116" s="32" t="s">
        <v>818</v>
      </c>
      <c r="S116" s="33">
        <f>2612.23</f>
        <v>2612.23</v>
      </c>
      <c r="T116" s="30">
        <f>625790</f>
        <v>625790</v>
      </c>
      <c r="U116" s="30" t="str">
        <f>"－"</f>
        <v>－</v>
      </c>
      <c r="V116" s="30">
        <f>1635136010</f>
        <v>1635136010</v>
      </c>
      <c r="W116" s="30" t="str">
        <f>"－"</f>
        <v>－</v>
      </c>
      <c r="X116" s="34">
        <f>20</f>
        <v>20</v>
      </c>
    </row>
    <row r="117" spans="1:24" x14ac:dyDescent="0.15">
      <c r="A117" s="25" t="s">
        <v>1036</v>
      </c>
      <c r="B117" s="25" t="s">
        <v>388</v>
      </c>
      <c r="C117" s="25" t="s">
        <v>389</v>
      </c>
      <c r="D117" s="25" t="s">
        <v>390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810</f>
        <v>810</v>
      </c>
      <c r="L117" s="32" t="s">
        <v>907</v>
      </c>
      <c r="M117" s="31">
        <f>950</f>
        <v>950</v>
      </c>
      <c r="N117" s="32" t="s">
        <v>818</v>
      </c>
      <c r="O117" s="31">
        <f>789.9</f>
        <v>789.9</v>
      </c>
      <c r="P117" s="32" t="s">
        <v>70</v>
      </c>
      <c r="Q117" s="31">
        <f>949.9</f>
        <v>949.9</v>
      </c>
      <c r="R117" s="32" t="s">
        <v>818</v>
      </c>
      <c r="S117" s="33">
        <f>869.2</f>
        <v>869.2</v>
      </c>
      <c r="T117" s="30">
        <f>840</f>
        <v>840</v>
      </c>
      <c r="U117" s="30" t="str">
        <f>"－"</f>
        <v>－</v>
      </c>
      <c r="V117" s="30">
        <f>744028</f>
        <v>744028</v>
      </c>
      <c r="W117" s="30" t="str">
        <f>"－"</f>
        <v>－</v>
      </c>
      <c r="X117" s="34">
        <f>13</f>
        <v>13</v>
      </c>
    </row>
    <row r="118" spans="1:24" x14ac:dyDescent="0.15">
      <c r="A118" s="25" t="s">
        <v>1036</v>
      </c>
      <c r="B118" s="25" t="s">
        <v>391</v>
      </c>
      <c r="C118" s="25" t="s">
        <v>392</v>
      </c>
      <c r="D118" s="25" t="s">
        <v>393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1446.5</f>
        <v>1446.5</v>
      </c>
      <c r="L118" s="32" t="s">
        <v>907</v>
      </c>
      <c r="M118" s="31">
        <f>1510</f>
        <v>1510</v>
      </c>
      <c r="N118" s="32" t="s">
        <v>820</v>
      </c>
      <c r="O118" s="31">
        <f>1446.5</f>
        <v>1446.5</v>
      </c>
      <c r="P118" s="32" t="s">
        <v>907</v>
      </c>
      <c r="Q118" s="31">
        <f>1502</f>
        <v>1502</v>
      </c>
      <c r="R118" s="32" t="s">
        <v>815</v>
      </c>
      <c r="S118" s="33">
        <f>1488.3</f>
        <v>1488.3</v>
      </c>
      <c r="T118" s="30">
        <f>570</f>
        <v>570</v>
      </c>
      <c r="U118" s="30" t="str">
        <f>"－"</f>
        <v>－</v>
      </c>
      <c r="V118" s="30">
        <f>840770</f>
        <v>840770</v>
      </c>
      <c r="W118" s="30" t="str">
        <f>"－"</f>
        <v>－</v>
      </c>
      <c r="X118" s="34">
        <f>5</f>
        <v>5</v>
      </c>
    </row>
    <row r="119" spans="1:24" x14ac:dyDescent="0.15">
      <c r="A119" s="25" t="s">
        <v>1036</v>
      </c>
      <c r="B119" s="25" t="s">
        <v>394</v>
      </c>
      <c r="C119" s="25" t="s">
        <v>395</v>
      </c>
      <c r="D119" s="25" t="s">
        <v>396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1608</f>
        <v>1608</v>
      </c>
      <c r="L119" s="32" t="s">
        <v>907</v>
      </c>
      <c r="M119" s="31">
        <f>1640</f>
        <v>1640</v>
      </c>
      <c r="N119" s="32" t="s">
        <v>818</v>
      </c>
      <c r="O119" s="31">
        <f>1520</f>
        <v>1520</v>
      </c>
      <c r="P119" s="32" t="s">
        <v>821</v>
      </c>
      <c r="Q119" s="31">
        <f>1640</f>
        <v>1640</v>
      </c>
      <c r="R119" s="32" t="s">
        <v>818</v>
      </c>
      <c r="S119" s="33">
        <f>1602.3</f>
        <v>1602.3</v>
      </c>
      <c r="T119" s="30">
        <f>13130</f>
        <v>13130</v>
      </c>
      <c r="U119" s="30" t="str">
        <f>"－"</f>
        <v>－</v>
      </c>
      <c r="V119" s="30">
        <f>20952472</f>
        <v>20952472</v>
      </c>
      <c r="W119" s="30" t="str">
        <f>"－"</f>
        <v>－</v>
      </c>
      <c r="X119" s="34">
        <f>20</f>
        <v>20</v>
      </c>
    </row>
    <row r="120" spans="1:24" x14ac:dyDescent="0.15">
      <c r="A120" s="25" t="s">
        <v>1036</v>
      </c>
      <c r="B120" s="25" t="s">
        <v>397</v>
      </c>
      <c r="C120" s="25" t="s">
        <v>398</v>
      </c>
      <c r="D120" s="25" t="s">
        <v>399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16625</f>
        <v>16625</v>
      </c>
      <c r="L120" s="32" t="s">
        <v>907</v>
      </c>
      <c r="M120" s="31">
        <f>17545</f>
        <v>17545</v>
      </c>
      <c r="N120" s="32" t="s">
        <v>810</v>
      </c>
      <c r="O120" s="31">
        <f>16555</f>
        <v>16555</v>
      </c>
      <c r="P120" s="32" t="s">
        <v>907</v>
      </c>
      <c r="Q120" s="31">
        <f>17380</f>
        <v>17380</v>
      </c>
      <c r="R120" s="32" t="s">
        <v>818</v>
      </c>
      <c r="S120" s="33">
        <f>17085</f>
        <v>17085</v>
      </c>
      <c r="T120" s="30">
        <f>67076</f>
        <v>67076</v>
      </c>
      <c r="U120" s="30">
        <f>26455</f>
        <v>26455</v>
      </c>
      <c r="V120" s="30">
        <f>1161146983</f>
        <v>1161146983</v>
      </c>
      <c r="W120" s="30">
        <f>459420028</f>
        <v>459420028</v>
      </c>
      <c r="X120" s="34">
        <f>20</f>
        <v>20</v>
      </c>
    </row>
    <row r="121" spans="1:24" x14ac:dyDescent="0.15">
      <c r="A121" s="25" t="s">
        <v>1036</v>
      </c>
      <c r="B121" s="25" t="s">
        <v>400</v>
      </c>
      <c r="C121" s="25" t="s">
        <v>401</v>
      </c>
      <c r="D121" s="25" t="s">
        <v>402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1511</f>
        <v>1511</v>
      </c>
      <c r="L121" s="32" t="s">
        <v>907</v>
      </c>
      <c r="M121" s="31">
        <f>1606</f>
        <v>1606</v>
      </c>
      <c r="N121" s="32" t="s">
        <v>80</v>
      </c>
      <c r="O121" s="31">
        <f>1508</f>
        <v>1508</v>
      </c>
      <c r="P121" s="32" t="s">
        <v>907</v>
      </c>
      <c r="Q121" s="31">
        <f>1602</f>
        <v>1602</v>
      </c>
      <c r="R121" s="32" t="s">
        <v>818</v>
      </c>
      <c r="S121" s="33">
        <f>1575.4</f>
        <v>1575.4</v>
      </c>
      <c r="T121" s="30">
        <f>27704</f>
        <v>27704</v>
      </c>
      <c r="U121" s="30" t="str">
        <f>"－"</f>
        <v>－</v>
      </c>
      <c r="V121" s="30">
        <f>43519769</f>
        <v>43519769</v>
      </c>
      <c r="W121" s="30" t="str">
        <f>"－"</f>
        <v>－</v>
      </c>
      <c r="X121" s="34">
        <f>20</f>
        <v>20</v>
      </c>
    </row>
    <row r="122" spans="1:24" x14ac:dyDescent="0.15">
      <c r="A122" s="25" t="s">
        <v>1036</v>
      </c>
      <c r="B122" s="25" t="s">
        <v>403</v>
      </c>
      <c r="C122" s="25" t="s">
        <v>404</v>
      </c>
      <c r="D122" s="25" t="s">
        <v>405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16915</f>
        <v>16915</v>
      </c>
      <c r="L122" s="32" t="s">
        <v>907</v>
      </c>
      <c r="M122" s="31">
        <f>17945</f>
        <v>17945</v>
      </c>
      <c r="N122" s="32" t="s">
        <v>80</v>
      </c>
      <c r="O122" s="31">
        <f>16870</f>
        <v>16870</v>
      </c>
      <c r="P122" s="32" t="s">
        <v>907</v>
      </c>
      <c r="Q122" s="31">
        <f>17870</f>
        <v>17870</v>
      </c>
      <c r="R122" s="32" t="s">
        <v>818</v>
      </c>
      <c r="S122" s="33">
        <f>17590.25</f>
        <v>17590.25</v>
      </c>
      <c r="T122" s="30">
        <f>4389</f>
        <v>4389</v>
      </c>
      <c r="U122" s="30" t="str">
        <f>"－"</f>
        <v>－</v>
      </c>
      <c r="V122" s="30">
        <f>76976860</f>
        <v>76976860</v>
      </c>
      <c r="W122" s="30" t="str">
        <f>"－"</f>
        <v>－</v>
      </c>
      <c r="X122" s="34">
        <f>20</f>
        <v>20</v>
      </c>
    </row>
    <row r="123" spans="1:24" x14ac:dyDescent="0.15">
      <c r="A123" s="25" t="s">
        <v>1036</v>
      </c>
      <c r="B123" s="25" t="s">
        <v>406</v>
      </c>
      <c r="C123" s="25" t="s">
        <v>407</v>
      </c>
      <c r="D123" s="25" t="s">
        <v>408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2007.5</f>
        <v>2007.5</v>
      </c>
      <c r="L123" s="32" t="s">
        <v>907</v>
      </c>
      <c r="M123" s="31">
        <f>2044.5</f>
        <v>2044.5</v>
      </c>
      <c r="N123" s="32" t="s">
        <v>70</v>
      </c>
      <c r="O123" s="31">
        <f>1880</f>
        <v>1880</v>
      </c>
      <c r="P123" s="32" t="s">
        <v>815</v>
      </c>
      <c r="Q123" s="31">
        <f>2003</f>
        <v>2003</v>
      </c>
      <c r="R123" s="32" t="s">
        <v>818</v>
      </c>
      <c r="S123" s="33">
        <f>1958.2</f>
        <v>1958.2</v>
      </c>
      <c r="T123" s="30">
        <f>1550120</f>
        <v>1550120</v>
      </c>
      <c r="U123" s="30">
        <f>833480</f>
        <v>833480</v>
      </c>
      <c r="V123" s="30">
        <f>3083444761</f>
        <v>3083444761</v>
      </c>
      <c r="W123" s="30">
        <f>1666173121</f>
        <v>1666173121</v>
      </c>
      <c r="X123" s="34">
        <f>20</f>
        <v>20</v>
      </c>
    </row>
    <row r="124" spans="1:24" x14ac:dyDescent="0.15">
      <c r="A124" s="25" t="s">
        <v>1036</v>
      </c>
      <c r="B124" s="25" t="s">
        <v>409</v>
      </c>
      <c r="C124" s="25" t="s">
        <v>410</v>
      </c>
      <c r="D124" s="25" t="s">
        <v>411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1657</f>
        <v>1657</v>
      </c>
      <c r="L124" s="32" t="s">
        <v>811</v>
      </c>
      <c r="M124" s="31">
        <f>1657</f>
        <v>1657</v>
      </c>
      <c r="N124" s="32" t="s">
        <v>811</v>
      </c>
      <c r="O124" s="31">
        <f>1657</f>
        <v>1657</v>
      </c>
      <c r="P124" s="32" t="s">
        <v>811</v>
      </c>
      <c r="Q124" s="31">
        <f>1657</f>
        <v>1657</v>
      </c>
      <c r="R124" s="32" t="s">
        <v>811</v>
      </c>
      <c r="S124" s="33">
        <f>1657</f>
        <v>1657</v>
      </c>
      <c r="T124" s="30">
        <f>1456310</f>
        <v>1456310</v>
      </c>
      <c r="U124" s="30">
        <f>1456300</f>
        <v>1456300</v>
      </c>
      <c r="V124" s="30">
        <f>2437666023</f>
        <v>2437666023</v>
      </c>
      <c r="W124" s="30">
        <f>2437649453</f>
        <v>2437649453</v>
      </c>
      <c r="X124" s="34">
        <f>1</f>
        <v>1</v>
      </c>
    </row>
    <row r="125" spans="1:24" x14ac:dyDescent="0.15">
      <c r="A125" s="25" t="s">
        <v>1036</v>
      </c>
      <c r="B125" s="25" t="s">
        <v>412</v>
      </c>
      <c r="C125" s="25" t="s">
        <v>413</v>
      </c>
      <c r="D125" s="25" t="s">
        <v>414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1995.5</f>
        <v>1995.5</v>
      </c>
      <c r="L125" s="32" t="s">
        <v>907</v>
      </c>
      <c r="M125" s="31">
        <f>2033</f>
        <v>2033</v>
      </c>
      <c r="N125" s="32" t="s">
        <v>810</v>
      </c>
      <c r="O125" s="31">
        <f>1897</f>
        <v>1897</v>
      </c>
      <c r="P125" s="32" t="s">
        <v>820</v>
      </c>
      <c r="Q125" s="31">
        <f>2019.5</f>
        <v>2019.5</v>
      </c>
      <c r="R125" s="32" t="s">
        <v>818</v>
      </c>
      <c r="S125" s="33">
        <f>1964.65</f>
        <v>1964.65</v>
      </c>
      <c r="T125" s="30">
        <f>595350</f>
        <v>595350</v>
      </c>
      <c r="U125" s="30">
        <f>289930</f>
        <v>289930</v>
      </c>
      <c r="V125" s="30">
        <f>1168069067</f>
        <v>1168069067</v>
      </c>
      <c r="W125" s="30">
        <f>573519897</f>
        <v>573519897</v>
      </c>
      <c r="X125" s="34">
        <f>20</f>
        <v>20</v>
      </c>
    </row>
    <row r="126" spans="1:24" x14ac:dyDescent="0.15">
      <c r="A126" s="25" t="s">
        <v>1036</v>
      </c>
      <c r="B126" s="25" t="s">
        <v>415</v>
      </c>
      <c r="C126" s="25" t="s">
        <v>416</v>
      </c>
      <c r="D126" s="25" t="s">
        <v>417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16945</f>
        <v>16945</v>
      </c>
      <c r="L126" s="32" t="s">
        <v>907</v>
      </c>
      <c r="M126" s="31">
        <f>18180</f>
        <v>18180</v>
      </c>
      <c r="N126" s="32" t="s">
        <v>818</v>
      </c>
      <c r="O126" s="31">
        <f>16945</f>
        <v>16945</v>
      </c>
      <c r="P126" s="32" t="s">
        <v>907</v>
      </c>
      <c r="Q126" s="31">
        <f>17705</f>
        <v>17705</v>
      </c>
      <c r="R126" s="32" t="s">
        <v>818</v>
      </c>
      <c r="S126" s="33">
        <f>17383.21</f>
        <v>17383.21</v>
      </c>
      <c r="T126" s="30">
        <f>672</f>
        <v>672</v>
      </c>
      <c r="U126" s="30" t="str">
        <f>"－"</f>
        <v>－</v>
      </c>
      <c r="V126" s="30">
        <f>11844660</f>
        <v>11844660</v>
      </c>
      <c r="W126" s="30" t="str">
        <f>"－"</f>
        <v>－</v>
      </c>
      <c r="X126" s="34">
        <f>14</f>
        <v>14</v>
      </c>
    </row>
    <row r="127" spans="1:24" x14ac:dyDescent="0.15">
      <c r="A127" s="25" t="s">
        <v>1036</v>
      </c>
      <c r="B127" s="25" t="s">
        <v>418</v>
      </c>
      <c r="C127" s="25" t="s">
        <v>419</v>
      </c>
      <c r="D127" s="25" t="s">
        <v>420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100</v>
      </c>
      <c r="K127" s="31">
        <f>159.5</f>
        <v>159.5</v>
      </c>
      <c r="L127" s="32" t="s">
        <v>907</v>
      </c>
      <c r="M127" s="31">
        <f>172.2</f>
        <v>172.2</v>
      </c>
      <c r="N127" s="32" t="s">
        <v>812</v>
      </c>
      <c r="O127" s="31">
        <f>157.9</f>
        <v>157.9</v>
      </c>
      <c r="P127" s="32" t="s">
        <v>907</v>
      </c>
      <c r="Q127" s="31">
        <f>167.4</f>
        <v>167.4</v>
      </c>
      <c r="R127" s="32" t="s">
        <v>818</v>
      </c>
      <c r="S127" s="33">
        <f>165.76</f>
        <v>165.76</v>
      </c>
      <c r="T127" s="30">
        <f>55773800</f>
        <v>55773800</v>
      </c>
      <c r="U127" s="30">
        <f>464500</f>
        <v>464500</v>
      </c>
      <c r="V127" s="30">
        <f>9202607420</f>
        <v>9202607420</v>
      </c>
      <c r="W127" s="30">
        <f>75954050</f>
        <v>75954050</v>
      </c>
      <c r="X127" s="34">
        <f>20</f>
        <v>20</v>
      </c>
    </row>
    <row r="128" spans="1:24" x14ac:dyDescent="0.15">
      <c r="A128" s="25" t="s">
        <v>1036</v>
      </c>
      <c r="B128" s="25" t="s">
        <v>421</v>
      </c>
      <c r="C128" s="25" t="s">
        <v>422</v>
      </c>
      <c r="D128" s="25" t="s">
        <v>423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29150</f>
        <v>29150</v>
      </c>
      <c r="L128" s="32" t="s">
        <v>907</v>
      </c>
      <c r="M128" s="31">
        <f>29870</f>
        <v>29870</v>
      </c>
      <c r="N128" s="32" t="s">
        <v>810</v>
      </c>
      <c r="O128" s="31">
        <f>28445</f>
        <v>28445</v>
      </c>
      <c r="P128" s="32" t="s">
        <v>820</v>
      </c>
      <c r="Q128" s="31">
        <f>28655</f>
        <v>28655</v>
      </c>
      <c r="R128" s="32" t="s">
        <v>818</v>
      </c>
      <c r="S128" s="33">
        <f>28971.5</f>
        <v>28971.5</v>
      </c>
      <c r="T128" s="30">
        <f>666</f>
        <v>666</v>
      </c>
      <c r="U128" s="30" t="str">
        <f>"－"</f>
        <v>－</v>
      </c>
      <c r="V128" s="30">
        <f>19311880</f>
        <v>19311880</v>
      </c>
      <c r="W128" s="30" t="str">
        <f>"－"</f>
        <v>－</v>
      </c>
      <c r="X128" s="34">
        <f>20</f>
        <v>20</v>
      </c>
    </row>
    <row r="129" spans="1:24" x14ac:dyDescent="0.15">
      <c r="A129" s="25" t="s">
        <v>1036</v>
      </c>
      <c r="B129" s="25" t="s">
        <v>424</v>
      </c>
      <c r="C129" s="25" t="s">
        <v>425</v>
      </c>
      <c r="D129" s="25" t="s">
        <v>426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12880</f>
        <v>12880</v>
      </c>
      <c r="L129" s="32" t="s">
        <v>907</v>
      </c>
      <c r="M129" s="31">
        <f>14010</f>
        <v>14010</v>
      </c>
      <c r="N129" s="32" t="s">
        <v>80</v>
      </c>
      <c r="O129" s="31">
        <f>12850</f>
        <v>12850</v>
      </c>
      <c r="P129" s="32" t="s">
        <v>907</v>
      </c>
      <c r="Q129" s="31">
        <f>13645</f>
        <v>13645</v>
      </c>
      <c r="R129" s="32" t="s">
        <v>818</v>
      </c>
      <c r="S129" s="33">
        <f>13550</f>
        <v>13550</v>
      </c>
      <c r="T129" s="30">
        <f>6684</f>
        <v>6684</v>
      </c>
      <c r="U129" s="30">
        <f>4</f>
        <v>4</v>
      </c>
      <c r="V129" s="30">
        <f>90942275</f>
        <v>90942275</v>
      </c>
      <c r="W129" s="30">
        <f>49800</f>
        <v>49800</v>
      </c>
      <c r="X129" s="34">
        <f>20</f>
        <v>20</v>
      </c>
    </row>
    <row r="130" spans="1:24" x14ac:dyDescent="0.15">
      <c r="A130" s="25" t="s">
        <v>1036</v>
      </c>
      <c r="B130" s="25" t="s">
        <v>427</v>
      </c>
      <c r="C130" s="25" t="s">
        <v>428</v>
      </c>
      <c r="D130" s="25" t="s">
        <v>429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20605</f>
        <v>20605</v>
      </c>
      <c r="L130" s="32" t="s">
        <v>907</v>
      </c>
      <c r="M130" s="31">
        <f>21525</f>
        <v>21525</v>
      </c>
      <c r="N130" s="32" t="s">
        <v>80</v>
      </c>
      <c r="O130" s="31">
        <f>20605</f>
        <v>20605</v>
      </c>
      <c r="P130" s="32" t="s">
        <v>907</v>
      </c>
      <c r="Q130" s="31">
        <f>21015</f>
        <v>21015</v>
      </c>
      <c r="R130" s="32" t="s">
        <v>818</v>
      </c>
      <c r="S130" s="33">
        <f>21030.53</f>
        <v>21030.53</v>
      </c>
      <c r="T130" s="30">
        <f>507</f>
        <v>507</v>
      </c>
      <c r="U130" s="30" t="str">
        <f t="shared" ref="U130:U135" si="4">"－"</f>
        <v>－</v>
      </c>
      <c r="V130" s="30">
        <f>10698845</f>
        <v>10698845</v>
      </c>
      <c r="W130" s="30" t="str">
        <f t="shared" ref="W130:W135" si="5">"－"</f>
        <v>－</v>
      </c>
      <c r="X130" s="34">
        <f>19</f>
        <v>19</v>
      </c>
    </row>
    <row r="131" spans="1:24" x14ac:dyDescent="0.15">
      <c r="A131" s="25" t="s">
        <v>1036</v>
      </c>
      <c r="B131" s="25" t="s">
        <v>430</v>
      </c>
      <c r="C131" s="25" t="s">
        <v>431</v>
      </c>
      <c r="D131" s="25" t="s">
        <v>432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23105</f>
        <v>23105</v>
      </c>
      <c r="L131" s="32" t="s">
        <v>907</v>
      </c>
      <c r="M131" s="31">
        <f>24140</f>
        <v>24140</v>
      </c>
      <c r="N131" s="32" t="s">
        <v>80</v>
      </c>
      <c r="O131" s="31">
        <f>22970</f>
        <v>22970</v>
      </c>
      <c r="P131" s="32" t="s">
        <v>907</v>
      </c>
      <c r="Q131" s="31">
        <f>23420</f>
        <v>23420</v>
      </c>
      <c r="R131" s="32" t="s">
        <v>818</v>
      </c>
      <c r="S131" s="33">
        <f>23453</f>
        <v>23453</v>
      </c>
      <c r="T131" s="30">
        <f>1910</f>
        <v>1910</v>
      </c>
      <c r="U131" s="30" t="str">
        <f t="shared" si="4"/>
        <v>－</v>
      </c>
      <c r="V131" s="30">
        <f>44586925</f>
        <v>44586925</v>
      </c>
      <c r="W131" s="30" t="str">
        <f t="shared" si="5"/>
        <v>－</v>
      </c>
      <c r="X131" s="34">
        <f>20</f>
        <v>20</v>
      </c>
    </row>
    <row r="132" spans="1:24" x14ac:dyDescent="0.15">
      <c r="A132" s="25" t="s">
        <v>1036</v>
      </c>
      <c r="B132" s="25" t="s">
        <v>433</v>
      </c>
      <c r="C132" s="25" t="s">
        <v>434</v>
      </c>
      <c r="D132" s="25" t="s">
        <v>435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24885</f>
        <v>24885</v>
      </c>
      <c r="L132" s="32" t="s">
        <v>907</v>
      </c>
      <c r="M132" s="31">
        <f>26650</f>
        <v>26650</v>
      </c>
      <c r="N132" s="32" t="s">
        <v>818</v>
      </c>
      <c r="O132" s="31">
        <f>24555</f>
        <v>24555</v>
      </c>
      <c r="P132" s="32" t="s">
        <v>907</v>
      </c>
      <c r="Q132" s="31">
        <f>26650</f>
        <v>26650</v>
      </c>
      <c r="R132" s="32" t="s">
        <v>818</v>
      </c>
      <c r="S132" s="33">
        <f>25683.5</f>
        <v>25683.5</v>
      </c>
      <c r="T132" s="30">
        <f>4359</f>
        <v>4359</v>
      </c>
      <c r="U132" s="30" t="str">
        <f t="shared" si="4"/>
        <v>－</v>
      </c>
      <c r="V132" s="30">
        <f>112083740</f>
        <v>112083740</v>
      </c>
      <c r="W132" s="30" t="str">
        <f t="shared" si="5"/>
        <v>－</v>
      </c>
      <c r="X132" s="34">
        <f>20</f>
        <v>20</v>
      </c>
    </row>
    <row r="133" spans="1:24" x14ac:dyDescent="0.15">
      <c r="A133" s="25" t="s">
        <v>1036</v>
      </c>
      <c r="B133" s="25" t="s">
        <v>436</v>
      </c>
      <c r="C133" s="25" t="s">
        <v>437</v>
      </c>
      <c r="D133" s="25" t="s">
        <v>438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21970</f>
        <v>21970</v>
      </c>
      <c r="L133" s="32" t="s">
        <v>907</v>
      </c>
      <c r="M133" s="31">
        <f>23910</f>
        <v>23910</v>
      </c>
      <c r="N133" s="32" t="s">
        <v>818</v>
      </c>
      <c r="O133" s="31">
        <f>21970</f>
        <v>21970</v>
      </c>
      <c r="P133" s="32" t="s">
        <v>907</v>
      </c>
      <c r="Q133" s="31">
        <f>23910</f>
        <v>23910</v>
      </c>
      <c r="R133" s="32" t="s">
        <v>818</v>
      </c>
      <c r="S133" s="33">
        <f>23226.75</f>
        <v>23226.75</v>
      </c>
      <c r="T133" s="30">
        <f>3544</f>
        <v>3544</v>
      </c>
      <c r="U133" s="30" t="str">
        <f t="shared" si="4"/>
        <v>－</v>
      </c>
      <c r="V133" s="30">
        <f>82080050</f>
        <v>82080050</v>
      </c>
      <c r="W133" s="30" t="str">
        <f t="shared" si="5"/>
        <v>－</v>
      </c>
      <c r="X133" s="34">
        <f>20</f>
        <v>20</v>
      </c>
    </row>
    <row r="134" spans="1:24" x14ac:dyDescent="0.15">
      <c r="A134" s="25" t="s">
        <v>1036</v>
      </c>
      <c r="B134" s="25" t="s">
        <v>439</v>
      </c>
      <c r="C134" s="25" t="s">
        <v>440</v>
      </c>
      <c r="D134" s="25" t="s">
        <v>441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16030</f>
        <v>16030</v>
      </c>
      <c r="L134" s="32" t="s">
        <v>907</v>
      </c>
      <c r="M134" s="31">
        <f>16970</f>
        <v>16970</v>
      </c>
      <c r="N134" s="32" t="s">
        <v>80</v>
      </c>
      <c r="O134" s="31">
        <f>15935</f>
        <v>15935</v>
      </c>
      <c r="P134" s="32" t="s">
        <v>907</v>
      </c>
      <c r="Q134" s="31">
        <f>16325</f>
        <v>16325</v>
      </c>
      <c r="R134" s="32" t="s">
        <v>818</v>
      </c>
      <c r="S134" s="33">
        <f>16531.75</f>
        <v>16531.75</v>
      </c>
      <c r="T134" s="30">
        <f>2295</f>
        <v>2295</v>
      </c>
      <c r="U134" s="30" t="str">
        <f t="shared" si="4"/>
        <v>－</v>
      </c>
      <c r="V134" s="30">
        <f>37809555</f>
        <v>37809555</v>
      </c>
      <c r="W134" s="30" t="str">
        <f t="shared" si="5"/>
        <v>－</v>
      </c>
      <c r="X134" s="34">
        <f>20</f>
        <v>20</v>
      </c>
    </row>
    <row r="135" spans="1:24" x14ac:dyDescent="0.15">
      <c r="A135" s="25" t="s">
        <v>1036</v>
      </c>
      <c r="B135" s="25" t="s">
        <v>442</v>
      </c>
      <c r="C135" s="25" t="s">
        <v>443</v>
      </c>
      <c r="D135" s="25" t="s">
        <v>444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36010</f>
        <v>36010</v>
      </c>
      <c r="L135" s="32" t="s">
        <v>907</v>
      </c>
      <c r="M135" s="31">
        <f>38500</f>
        <v>38500</v>
      </c>
      <c r="N135" s="32" t="s">
        <v>80</v>
      </c>
      <c r="O135" s="31">
        <f>35780</f>
        <v>35780</v>
      </c>
      <c r="P135" s="32" t="s">
        <v>56</v>
      </c>
      <c r="Q135" s="31">
        <f>37450</f>
        <v>37450</v>
      </c>
      <c r="R135" s="32" t="s">
        <v>818</v>
      </c>
      <c r="S135" s="33">
        <f>36903</f>
        <v>36903</v>
      </c>
      <c r="T135" s="30">
        <f>819</f>
        <v>819</v>
      </c>
      <c r="U135" s="30" t="str">
        <f t="shared" si="4"/>
        <v>－</v>
      </c>
      <c r="V135" s="30">
        <f>30166670</f>
        <v>30166670</v>
      </c>
      <c r="W135" s="30" t="str">
        <f t="shared" si="5"/>
        <v>－</v>
      </c>
      <c r="X135" s="34">
        <f>20</f>
        <v>20</v>
      </c>
    </row>
    <row r="136" spans="1:24" x14ac:dyDescent="0.15">
      <c r="A136" s="25" t="s">
        <v>1036</v>
      </c>
      <c r="B136" s="25" t="s">
        <v>445</v>
      </c>
      <c r="C136" s="25" t="s">
        <v>446</v>
      </c>
      <c r="D136" s="25" t="s">
        <v>447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24385</f>
        <v>24385</v>
      </c>
      <c r="L136" s="32" t="s">
        <v>907</v>
      </c>
      <c r="M136" s="31">
        <f>27015</f>
        <v>27015</v>
      </c>
      <c r="N136" s="32" t="s">
        <v>818</v>
      </c>
      <c r="O136" s="31">
        <f>24385</f>
        <v>24385</v>
      </c>
      <c r="P136" s="32" t="s">
        <v>907</v>
      </c>
      <c r="Q136" s="31">
        <f>26265</f>
        <v>26265</v>
      </c>
      <c r="R136" s="32" t="s">
        <v>818</v>
      </c>
      <c r="S136" s="33">
        <f>25593</f>
        <v>25593</v>
      </c>
      <c r="T136" s="30">
        <f>8155</f>
        <v>8155</v>
      </c>
      <c r="U136" s="30">
        <f>3000</f>
        <v>3000</v>
      </c>
      <c r="V136" s="30">
        <f>210590020</f>
        <v>210590020</v>
      </c>
      <c r="W136" s="30">
        <f>78879000</f>
        <v>78879000</v>
      </c>
      <c r="X136" s="34">
        <f>20</f>
        <v>20</v>
      </c>
    </row>
    <row r="137" spans="1:24" x14ac:dyDescent="0.15">
      <c r="A137" s="25" t="s">
        <v>1036</v>
      </c>
      <c r="B137" s="25" t="s">
        <v>448</v>
      </c>
      <c r="C137" s="25" t="s">
        <v>449</v>
      </c>
      <c r="D137" s="25" t="s">
        <v>450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27030</f>
        <v>27030</v>
      </c>
      <c r="L137" s="32" t="s">
        <v>907</v>
      </c>
      <c r="M137" s="31">
        <f>28865</f>
        <v>28865</v>
      </c>
      <c r="N137" s="32" t="s">
        <v>812</v>
      </c>
      <c r="O137" s="31">
        <f>26990</f>
        <v>26990</v>
      </c>
      <c r="P137" s="32" t="s">
        <v>907</v>
      </c>
      <c r="Q137" s="31">
        <f>28830</f>
        <v>28830</v>
      </c>
      <c r="R137" s="32" t="s">
        <v>818</v>
      </c>
      <c r="S137" s="33">
        <f>28161.75</f>
        <v>28161.75</v>
      </c>
      <c r="T137" s="30">
        <f>800</f>
        <v>800</v>
      </c>
      <c r="U137" s="30" t="str">
        <f t="shared" ref="U137:U144" si="6">"－"</f>
        <v>－</v>
      </c>
      <c r="V137" s="30">
        <f>22638935</f>
        <v>22638935</v>
      </c>
      <c r="W137" s="30" t="str">
        <f t="shared" ref="W137:W144" si="7">"－"</f>
        <v>－</v>
      </c>
      <c r="X137" s="34">
        <f>20</f>
        <v>20</v>
      </c>
    </row>
    <row r="138" spans="1:24" x14ac:dyDescent="0.15">
      <c r="A138" s="25" t="s">
        <v>1036</v>
      </c>
      <c r="B138" s="25" t="s">
        <v>451</v>
      </c>
      <c r="C138" s="25" t="s">
        <v>452</v>
      </c>
      <c r="D138" s="25" t="s">
        <v>453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5985</f>
        <v>5985</v>
      </c>
      <c r="L138" s="32" t="s">
        <v>907</v>
      </c>
      <c r="M138" s="31">
        <f>6127</f>
        <v>6127</v>
      </c>
      <c r="N138" s="32" t="s">
        <v>810</v>
      </c>
      <c r="O138" s="31">
        <f>5717</f>
        <v>5717</v>
      </c>
      <c r="P138" s="32" t="s">
        <v>56</v>
      </c>
      <c r="Q138" s="31">
        <f>5986</f>
        <v>5986</v>
      </c>
      <c r="R138" s="32" t="s">
        <v>818</v>
      </c>
      <c r="S138" s="33">
        <f>5913.75</f>
        <v>5913.75</v>
      </c>
      <c r="T138" s="30">
        <f>11632</f>
        <v>11632</v>
      </c>
      <c r="U138" s="30" t="str">
        <f t="shared" si="6"/>
        <v>－</v>
      </c>
      <c r="V138" s="30">
        <f>68874215</f>
        <v>68874215</v>
      </c>
      <c r="W138" s="30" t="str">
        <f t="shared" si="7"/>
        <v>－</v>
      </c>
      <c r="X138" s="34">
        <f>20</f>
        <v>20</v>
      </c>
    </row>
    <row r="139" spans="1:24" x14ac:dyDescent="0.15">
      <c r="A139" s="25" t="s">
        <v>1036</v>
      </c>
      <c r="B139" s="25" t="s">
        <v>454</v>
      </c>
      <c r="C139" s="25" t="s">
        <v>455</v>
      </c>
      <c r="D139" s="25" t="s">
        <v>456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15610</f>
        <v>15610</v>
      </c>
      <c r="L139" s="32" t="s">
        <v>907</v>
      </c>
      <c r="M139" s="31">
        <f>16680</f>
        <v>16680</v>
      </c>
      <c r="N139" s="32" t="s">
        <v>814</v>
      </c>
      <c r="O139" s="31">
        <f>15400</f>
        <v>15400</v>
      </c>
      <c r="P139" s="32" t="s">
        <v>907</v>
      </c>
      <c r="Q139" s="31">
        <f>16345</f>
        <v>16345</v>
      </c>
      <c r="R139" s="32" t="s">
        <v>818</v>
      </c>
      <c r="S139" s="33">
        <f>16238.25</f>
        <v>16238.25</v>
      </c>
      <c r="T139" s="30">
        <f>18286</f>
        <v>18286</v>
      </c>
      <c r="U139" s="30" t="str">
        <f t="shared" si="6"/>
        <v>－</v>
      </c>
      <c r="V139" s="30">
        <f>296392675</f>
        <v>296392675</v>
      </c>
      <c r="W139" s="30" t="str">
        <f t="shared" si="7"/>
        <v>－</v>
      </c>
      <c r="X139" s="34">
        <f>20</f>
        <v>20</v>
      </c>
    </row>
    <row r="140" spans="1:24" x14ac:dyDescent="0.15">
      <c r="A140" s="25" t="s">
        <v>1036</v>
      </c>
      <c r="B140" s="25" t="s">
        <v>457</v>
      </c>
      <c r="C140" s="25" t="s">
        <v>458</v>
      </c>
      <c r="D140" s="25" t="s">
        <v>459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44270</f>
        <v>44270</v>
      </c>
      <c r="L140" s="32" t="s">
        <v>907</v>
      </c>
      <c r="M140" s="31">
        <f>47620</f>
        <v>47620</v>
      </c>
      <c r="N140" s="32" t="s">
        <v>80</v>
      </c>
      <c r="O140" s="31">
        <f>43800</f>
        <v>43800</v>
      </c>
      <c r="P140" s="32" t="s">
        <v>907</v>
      </c>
      <c r="Q140" s="31">
        <f>46050</f>
        <v>46050</v>
      </c>
      <c r="R140" s="32" t="s">
        <v>818</v>
      </c>
      <c r="S140" s="33">
        <f>45982</f>
        <v>45982</v>
      </c>
      <c r="T140" s="30">
        <f>2658</f>
        <v>2658</v>
      </c>
      <c r="U140" s="30" t="str">
        <f t="shared" si="6"/>
        <v>－</v>
      </c>
      <c r="V140" s="30">
        <f>122684170</f>
        <v>122684170</v>
      </c>
      <c r="W140" s="30" t="str">
        <f t="shared" si="7"/>
        <v>－</v>
      </c>
      <c r="X140" s="34">
        <f>20</f>
        <v>20</v>
      </c>
    </row>
    <row r="141" spans="1:24" x14ac:dyDescent="0.15">
      <c r="A141" s="25" t="s">
        <v>1036</v>
      </c>
      <c r="B141" s="25" t="s">
        <v>460</v>
      </c>
      <c r="C141" s="25" t="s">
        <v>461</v>
      </c>
      <c r="D141" s="25" t="s">
        <v>462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22095</f>
        <v>22095</v>
      </c>
      <c r="L141" s="32" t="s">
        <v>907</v>
      </c>
      <c r="M141" s="31">
        <f>22960</f>
        <v>22960</v>
      </c>
      <c r="N141" s="32" t="s">
        <v>816</v>
      </c>
      <c r="O141" s="31">
        <f>21645</f>
        <v>21645</v>
      </c>
      <c r="P141" s="32" t="s">
        <v>907</v>
      </c>
      <c r="Q141" s="31">
        <f>22460</f>
        <v>22460</v>
      </c>
      <c r="R141" s="32" t="s">
        <v>818</v>
      </c>
      <c r="S141" s="33">
        <f>22471.25</f>
        <v>22471.25</v>
      </c>
      <c r="T141" s="30">
        <f>1436</f>
        <v>1436</v>
      </c>
      <c r="U141" s="30" t="str">
        <f t="shared" si="6"/>
        <v>－</v>
      </c>
      <c r="V141" s="30">
        <f>32484910</f>
        <v>32484910</v>
      </c>
      <c r="W141" s="30" t="str">
        <f t="shared" si="7"/>
        <v>－</v>
      </c>
      <c r="X141" s="34">
        <f>20</f>
        <v>20</v>
      </c>
    </row>
    <row r="142" spans="1:24" x14ac:dyDescent="0.15">
      <c r="A142" s="25" t="s">
        <v>1036</v>
      </c>
      <c r="B142" s="25" t="s">
        <v>463</v>
      </c>
      <c r="C142" s="25" t="s">
        <v>464</v>
      </c>
      <c r="D142" s="25" t="s">
        <v>465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8250</f>
        <v>8250</v>
      </c>
      <c r="L142" s="32" t="s">
        <v>907</v>
      </c>
      <c r="M142" s="31">
        <f>8899</f>
        <v>8899</v>
      </c>
      <c r="N142" s="32" t="s">
        <v>812</v>
      </c>
      <c r="O142" s="31">
        <f>8170</f>
        <v>8170</v>
      </c>
      <c r="P142" s="32" t="s">
        <v>907</v>
      </c>
      <c r="Q142" s="31">
        <f>8655</f>
        <v>8655</v>
      </c>
      <c r="R142" s="32" t="s">
        <v>818</v>
      </c>
      <c r="S142" s="33">
        <f>8572.35</f>
        <v>8572.35</v>
      </c>
      <c r="T142" s="30">
        <f>13343</f>
        <v>13343</v>
      </c>
      <c r="U142" s="30" t="str">
        <f t="shared" si="6"/>
        <v>－</v>
      </c>
      <c r="V142" s="30">
        <f>114559423</f>
        <v>114559423</v>
      </c>
      <c r="W142" s="30" t="str">
        <f t="shared" si="7"/>
        <v>－</v>
      </c>
      <c r="X142" s="34">
        <f>20</f>
        <v>20</v>
      </c>
    </row>
    <row r="143" spans="1:24" x14ac:dyDescent="0.15">
      <c r="A143" s="25" t="s">
        <v>1036</v>
      </c>
      <c r="B143" s="25" t="s">
        <v>466</v>
      </c>
      <c r="C143" s="25" t="s">
        <v>467</v>
      </c>
      <c r="D143" s="25" t="s">
        <v>468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14250</f>
        <v>14250</v>
      </c>
      <c r="L143" s="32" t="s">
        <v>907</v>
      </c>
      <c r="M143" s="31">
        <f>14870</f>
        <v>14870</v>
      </c>
      <c r="N143" s="32" t="s">
        <v>80</v>
      </c>
      <c r="O143" s="31">
        <f>14215</f>
        <v>14215</v>
      </c>
      <c r="P143" s="32" t="s">
        <v>56</v>
      </c>
      <c r="Q143" s="31">
        <f>14835</f>
        <v>14835</v>
      </c>
      <c r="R143" s="32" t="s">
        <v>818</v>
      </c>
      <c r="S143" s="33">
        <f>14603</f>
        <v>14603</v>
      </c>
      <c r="T143" s="30">
        <f>933</f>
        <v>933</v>
      </c>
      <c r="U143" s="30" t="str">
        <f t="shared" si="6"/>
        <v>－</v>
      </c>
      <c r="V143" s="30">
        <f>13624635</f>
        <v>13624635</v>
      </c>
      <c r="W143" s="30" t="str">
        <f t="shared" si="7"/>
        <v>－</v>
      </c>
      <c r="X143" s="34">
        <f>20</f>
        <v>20</v>
      </c>
    </row>
    <row r="144" spans="1:24" x14ac:dyDescent="0.15">
      <c r="A144" s="25" t="s">
        <v>1036</v>
      </c>
      <c r="B144" s="25" t="s">
        <v>469</v>
      </c>
      <c r="C144" s="25" t="s">
        <v>470</v>
      </c>
      <c r="D144" s="25" t="s">
        <v>471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29820</f>
        <v>29820</v>
      </c>
      <c r="L144" s="32" t="s">
        <v>907</v>
      </c>
      <c r="M144" s="31">
        <f>31490</f>
        <v>31490</v>
      </c>
      <c r="N144" s="32" t="s">
        <v>80</v>
      </c>
      <c r="O144" s="31">
        <f>29690</f>
        <v>29690</v>
      </c>
      <c r="P144" s="32" t="s">
        <v>907</v>
      </c>
      <c r="Q144" s="31">
        <f>30700</f>
        <v>30700</v>
      </c>
      <c r="R144" s="32" t="s">
        <v>818</v>
      </c>
      <c r="S144" s="33">
        <f>30740.25</f>
        <v>30740.25</v>
      </c>
      <c r="T144" s="30">
        <f>17875</f>
        <v>17875</v>
      </c>
      <c r="U144" s="30" t="str">
        <f t="shared" si="6"/>
        <v>－</v>
      </c>
      <c r="V144" s="30">
        <f>539585935</f>
        <v>539585935</v>
      </c>
      <c r="W144" s="30" t="str">
        <f t="shared" si="7"/>
        <v>－</v>
      </c>
      <c r="X144" s="34">
        <f>20</f>
        <v>20</v>
      </c>
    </row>
    <row r="145" spans="1:24" x14ac:dyDescent="0.15">
      <c r="A145" s="25" t="s">
        <v>1036</v>
      </c>
      <c r="B145" s="25" t="s">
        <v>472</v>
      </c>
      <c r="C145" s="25" t="s">
        <v>473</v>
      </c>
      <c r="D145" s="25" t="s">
        <v>474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1184</f>
        <v>1184</v>
      </c>
      <c r="L145" s="32" t="s">
        <v>907</v>
      </c>
      <c r="M145" s="31">
        <f>1251</f>
        <v>1251</v>
      </c>
      <c r="N145" s="32" t="s">
        <v>812</v>
      </c>
      <c r="O145" s="31">
        <f>1174.5</f>
        <v>1174.5</v>
      </c>
      <c r="P145" s="32" t="s">
        <v>907</v>
      </c>
      <c r="Q145" s="31">
        <f>1241</f>
        <v>1241</v>
      </c>
      <c r="R145" s="32" t="s">
        <v>818</v>
      </c>
      <c r="S145" s="33">
        <f>1228.03</f>
        <v>1228.03</v>
      </c>
      <c r="T145" s="30">
        <f>1375690</f>
        <v>1375690</v>
      </c>
      <c r="U145" s="30">
        <f>431180</f>
        <v>431180</v>
      </c>
      <c r="V145" s="30">
        <f>1693825502</f>
        <v>1693825502</v>
      </c>
      <c r="W145" s="30">
        <f>529715632</f>
        <v>529715632</v>
      </c>
      <c r="X145" s="34">
        <f>20</f>
        <v>20</v>
      </c>
    </row>
    <row r="146" spans="1:24" x14ac:dyDescent="0.15">
      <c r="A146" s="25" t="s">
        <v>1036</v>
      </c>
      <c r="B146" s="25" t="s">
        <v>475</v>
      </c>
      <c r="C146" s="25" t="s">
        <v>476</v>
      </c>
      <c r="D146" s="25" t="s">
        <v>477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2218.5</f>
        <v>2218.5</v>
      </c>
      <c r="L146" s="32" t="s">
        <v>907</v>
      </c>
      <c r="M146" s="31">
        <f>2315.5</f>
        <v>2315.5</v>
      </c>
      <c r="N146" s="32" t="s">
        <v>810</v>
      </c>
      <c r="O146" s="31">
        <f>2218.5</f>
        <v>2218.5</v>
      </c>
      <c r="P146" s="32" t="s">
        <v>907</v>
      </c>
      <c r="Q146" s="31">
        <f>2293</f>
        <v>2293</v>
      </c>
      <c r="R146" s="32" t="s">
        <v>818</v>
      </c>
      <c r="S146" s="33">
        <f>2271.59</f>
        <v>2271.59</v>
      </c>
      <c r="T146" s="30">
        <f>2830</f>
        <v>2830</v>
      </c>
      <c r="U146" s="30" t="str">
        <f>"－"</f>
        <v>－</v>
      </c>
      <c r="V146" s="30">
        <f>6403450</f>
        <v>6403450</v>
      </c>
      <c r="W146" s="30" t="str">
        <f>"－"</f>
        <v>－</v>
      </c>
      <c r="X146" s="34">
        <f>11</f>
        <v>11</v>
      </c>
    </row>
    <row r="147" spans="1:24" x14ac:dyDescent="0.15">
      <c r="A147" s="25" t="s">
        <v>1036</v>
      </c>
      <c r="B147" s="25" t="s">
        <v>478</v>
      </c>
      <c r="C147" s="25" t="s">
        <v>479</v>
      </c>
      <c r="D147" s="25" t="s">
        <v>480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2353.5</f>
        <v>2353.5</v>
      </c>
      <c r="L147" s="32" t="s">
        <v>907</v>
      </c>
      <c r="M147" s="31">
        <f>2461</f>
        <v>2461</v>
      </c>
      <c r="N147" s="32" t="s">
        <v>812</v>
      </c>
      <c r="O147" s="31">
        <f>2353.5</f>
        <v>2353.5</v>
      </c>
      <c r="P147" s="32" t="s">
        <v>907</v>
      </c>
      <c r="Q147" s="31">
        <f>2449</f>
        <v>2449</v>
      </c>
      <c r="R147" s="32" t="s">
        <v>818</v>
      </c>
      <c r="S147" s="33">
        <f>2420.75</f>
        <v>2420.75</v>
      </c>
      <c r="T147" s="30">
        <f>28240</f>
        <v>28240</v>
      </c>
      <c r="U147" s="30" t="str">
        <f>"－"</f>
        <v>－</v>
      </c>
      <c r="V147" s="30">
        <f>67959950</f>
        <v>67959950</v>
      </c>
      <c r="W147" s="30" t="str">
        <f>"－"</f>
        <v>－</v>
      </c>
      <c r="X147" s="34">
        <f>14</f>
        <v>14</v>
      </c>
    </row>
    <row r="148" spans="1:24" x14ac:dyDescent="0.15">
      <c r="A148" s="25" t="s">
        <v>1036</v>
      </c>
      <c r="B148" s="25" t="s">
        <v>481</v>
      </c>
      <c r="C148" s="25" t="s">
        <v>482</v>
      </c>
      <c r="D148" s="25" t="s">
        <v>483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1445</f>
        <v>1445</v>
      </c>
      <c r="L148" s="32" t="s">
        <v>907</v>
      </c>
      <c r="M148" s="31">
        <f>1525</f>
        <v>1525</v>
      </c>
      <c r="N148" s="32" t="s">
        <v>80</v>
      </c>
      <c r="O148" s="31">
        <f>1445</f>
        <v>1445</v>
      </c>
      <c r="P148" s="32" t="s">
        <v>907</v>
      </c>
      <c r="Q148" s="31">
        <f>1504</f>
        <v>1504</v>
      </c>
      <c r="R148" s="32" t="s">
        <v>815</v>
      </c>
      <c r="S148" s="33">
        <f>1498.6</f>
        <v>1498.6</v>
      </c>
      <c r="T148" s="30">
        <f>7480</f>
        <v>7480</v>
      </c>
      <c r="U148" s="30" t="str">
        <f>"－"</f>
        <v>－</v>
      </c>
      <c r="V148" s="30">
        <f>11226895</f>
        <v>11226895</v>
      </c>
      <c r="W148" s="30" t="str">
        <f>"－"</f>
        <v>－</v>
      </c>
      <c r="X148" s="34">
        <f>10</f>
        <v>10</v>
      </c>
    </row>
    <row r="149" spans="1:24" x14ac:dyDescent="0.15">
      <c r="A149" s="25" t="s">
        <v>1036</v>
      </c>
      <c r="B149" s="25" t="s">
        <v>484</v>
      </c>
      <c r="C149" s="25" t="s">
        <v>485</v>
      </c>
      <c r="D149" s="25" t="s">
        <v>486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372.3</f>
        <v>372.3</v>
      </c>
      <c r="L149" s="32" t="s">
        <v>907</v>
      </c>
      <c r="M149" s="31">
        <f>415.1</f>
        <v>415.1</v>
      </c>
      <c r="N149" s="32" t="s">
        <v>818</v>
      </c>
      <c r="O149" s="31">
        <f>370.7</f>
        <v>370.7</v>
      </c>
      <c r="P149" s="32" t="s">
        <v>907</v>
      </c>
      <c r="Q149" s="31">
        <f>414.4</f>
        <v>414.4</v>
      </c>
      <c r="R149" s="32" t="s">
        <v>818</v>
      </c>
      <c r="S149" s="33">
        <f>394</f>
        <v>394</v>
      </c>
      <c r="T149" s="30">
        <f>79600160</f>
        <v>79600160</v>
      </c>
      <c r="U149" s="30">
        <f>3256410</f>
        <v>3256410</v>
      </c>
      <c r="V149" s="30">
        <f>31387639547</f>
        <v>31387639547</v>
      </c>
      <c r="W149" s="30">
        <f>1309341458</f>
        <v>1309341458</v>
      </c>
      <c r="X149" s="34">
        <f>20</f>
        <v>20</v>
      </c>
    </row>
    <row r="150" spans="1:24" x14ac:dyDescent="0.15">
      <c r="A150" s="25" t="s">
        <v>1036</v>
      </c>
      <c r="B150" s="25" t="s">
        <v>487</v>
      </c>
      <c r="C150" s="25" t="s">
        <v>488</v>
      </c>
      <c r="D150" s="25" t="s">
        <v>489</v>
      </c>
      <c r="E150" s="26" t="s">
        <v>913</v>
      </c>
      <c r="F150" s="27" t="s">
        <v>914</v>
      </c>
      <c r="G150" s="28" t="s">
        <v>45</v>
      </c>
      <c r="H150" s="29"/>
      <c r="I150" s="29" t="s">
        <v>46</v>
      </c>
      <c r="J150" s="30">
        <v>10</v>
      </c>
      <c r="K150" s="31">
        <f>2870</f>
        <v>2870</v>
      </c>
      <c r="L150" s="32" t="s">
        <v>907</v>
      </c>
      <c r="M150" s="31">
        <f>2916</f>
        <v>2916</v>
      </c>
      <c r="N150" s="32" t="s">
        <v>811</v>
      </c>
      <c r="O150" s="31">
        <f>2865</f>
        <v>2865</v>
      </c>
      <c r="P150" s="32" t="s">
        <v>907</v>
      </c>
      <c r="Q150" s="31">
        <f>2881</f>
        <v>2881</v>
      </c>
      <c r="R150" s="32" t="s">
        <v>80</v>
      </c>
      <c r="S150" s="33">
        <f>2892</f>
        <v>2892</v>
      </c>
      <c r="T150" s="30">
        <f>215712</f>
        <v>215712</v>
      </c>
      <c r="U150" s="30">
        <f>110020</f>
        <v>110020</v>
      </c>
      <c r="V150" s="30">
        <f>620456259</f>
        <v>620456259</v>
      </c>
      <c r="W150" s="30">
        <f>315233600</f>
        <v>315233600</v>
      </c>
      <c r="X150" s="34">
        <f>4</f>
        <v>4</v>
      </c>
    </row>
    <row r="151" spans="1:24" x14ac:dyDescent="0.15">
      <c r="A151" s="25" t="s">
        <v>1036</v>
      </c>
      <c r="B151" s="25" t="s">
        <v>487</v>
      </c>
      <c r="C151" s="25" t="s">
        <v>488</v>
      </c>
      <c r="D151" s="25" t="s">
        <v>489</v>
      </c>
      <c r="E151" s="26" t="s">
        <v>913</v>
      </c>
      <c r="F151" s="27" t="s">
        <v>914</v>
      </c>
      <c r="G151" s="28" t="s">
        <v>45</v>
      </c>
      <c r="H151" s="29"/>
      <c r="I151" s="29" t="s">
        <v>46</v>
      </c>
      <c r="J151" s="30">
        <v>10</v>
      </c>
      <c r="K151" s="31">
        <f>292</f>
        <v>292</v>
      </c>
      <c r="L151" s="32" t="s">
        <v>70</v>
      </c>
      <c r="M151" s="31">
        <f>292</f>
        <v>292</v>
      </c>
      <c r="N151" s="32" t="s">
        <v>70</v>
      </c>
      <c r="O151" s="31">
        <f>282.4</f>
        <v>282.39999999999998</v>
      </c>
      <c r="P151" s="32" t="s">
        <v>820</v>
      </c>
      <c r="Q151" s="31">
        <f>288.1</f>
        <v>288.10000000000002</v>
      </c>
      <c r="R151" s="32" t="s">
        <v>818</v>
      </c>
      <c r="S151" s="33">
        <f>287.58</f>
        <v>287.58</v>
      </c>
      <c r="T151" s="30">
        <f>24395500</f>
        <v>24395500</v>
      </c>
      <c r="U151" s="30">
        <f>22345890</f>
        <v>22345890</v>
      </c>
      <c r="V151" s="30">
        <f>7016576756</f>
        <v>7016576756</v>
      </c>
      <c r="W151" s="30">
        <f>6428472285</f>
        <v>6428472285</v>
      </c>
      <c r="X151" s="34">
        <f>16</f>
        <v>16</v>
      </c>
    </row>
    <row r="152" spans="1:24" x14ac:dyDescent="0.15">
      <c r="A152" s="25" t="s">
        <v>1036</v>
      </c>
      <c r="B152" s="25" t="s">
        <v>490</v>
      </c>
      <c r="C152" s="25" t="s">
        <v>491</v>
      </c>
      <c r="D152" s="25" t="s">
        <v>492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3195</f>
        <v>3195</v>
      </c>
      <c r="L152" s="32" t="s">
        <v>907</v>
      </c>
      <c r="M152" s="31">
        <f>3540</f>
        <v>3540</v>
      </c>
      <c r="N152" s="32" t="s">
        <v>818</v>
      </c>
      <c r="O152" s="31">
        <f>3165</f>
        <v>3165</v>
      </c>
      <c r="P152" s="32" t="s">
        <v>907</v>
      </c>
      <c r="Q152" s="31">
        <f>3525</f>
        <v>3525</v>
      </c>
      <c r="R152" s="32" t="s">
        <v>818</v>
      </c>
      <c r="S152" s="33">
        <f>3361.75</f>
        <v>3361.75</v>
      </c>
      <c r="T152" s="30">
        <f>60609</f>
        <v>60609</v>
      </c>
      <c r="U152" s="30">
        <f>2120</f>
        <v>2120</v>
      </c>
      <c r="V152" s="30">
        <f>202372529</f>
        <v>202372529</v>
      </c>
      <c r="W152" s="30">
        <f>7117709</f>
        <v>7117709</v>
      </c>
      <c r="X152" s="34">
        <f>20</f>
        <v>20</v>
      </c>
    </row>
    <row r="153" spans="1:24" x14ac:dyDescent="0.15">
      <c r="A153" s="25" t="s">
        <v>1036</v>
      </c>
      <c r="B153" s="25" t="s">
        <v>493</v>
      </c>
      <c r="C153" s="25" t="s">
        <v>494</v>
      </c>
      <c r="D153" s="25" t="s">
        <v>495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2088</f>
        <v>2088</v>
      </c>
      <c r="L153" s="32" t="s">
        <v>907</v>
      </c>
      <c r="M153" s="31">
        <f>2205</f>
        <v>2205</v>
      </c>
      <c r="N153" s="32" t="s">
        <v>80</v>
      </c>
      <c r="O153" s="31">
        <f>2061</f>
        <v>2061</v>
      </c>
      <c r="P153" s="32" t="s">
        <v>94</v>
      </c>
      <c r="Q153" s="31">
        <f>2087</f>
        <v>2087</v>
      </c>
      <c r="R153" s="32" t="s">
        <v>818</v>
      </c>
      <c r="S153" s="33">
        <f>2126.05</f>
        <v>2126.0500000000002</v>
      </c>
      <c r="T153" s="30">
        <f>270862</f>
        <v>270862</v>
      </c>
      <c r="U153" s="30">
        <f>1</f>
        <v>1</v>
      </c>
      <c r="V153" s="30">
        <f>573889819</f>
        <v>573889819</v>
      </c>
      <c r="W153" s="30">
        <f>2092</f>
        <v>2092</v>
      </c>
      <c r="X153" s="34">
        <f>20</f>
        <v>20</v>
      </c>
    </row>
    <row r="154" spans="1:24" x14ac:dyDescent="0.15">
      <c r="A154" s="25" t="s">
        <v>1036</v>
      </c>
      <c r="B154" s="25" t="s">
        <v>496</v>
      </c>
      <c r="C154" s="25" t="s">
        <v>497</v>
      </c>
      <c r="D154" s="25" t="s">
        <v>498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2577</f>
        <v>2577</v>
      </c>
      <c r="L154" s="32" t="s">
        <v>907</v>
      </c>
      <c r="M154" s="31">
        <f>2764</f>
        <v>2764</v>
      </c>
      <c r="N154" s="32" t="s">
        <v>818</v>
      </c>
      <c r="O154" s="31">
        <f>2478</f>
        <v>2478</v>
      </c>
      <c r="P154" s="32" t="s">
        <v>821</v>
      </c>
      <c r="Q154" s="31">
        <f>2756</f>
        <v>2756</v>
      </c>
      <c r="R154" s="32" t="s">
        <v>818</v>
      </c>
      <c r="S154" s="33">
        <f>2623.95</f>
        <v>2623.95</v>
      </c>
      <c r="T154" s="30">
        <f>286686</f>
        <v>286686</v>
      </c>
      <c r="U154" s="30">
        <f>98300</f>
        <v>98300</v>
      </c>
      <c r="V154" s="30">
        <f>753790274</f>
        <v>753790274</v>
      </c>
      <c r="W154" s="30">
        <f>261457172</f>
        <v>261457172</v>
      </c>
      <c r="X154" s="34">
        <f>20</f>
        <v>20</v>
      </c>
    </row>
    <row r="155" spans="1:24" x14ac:dyDescent="0.15">
      <c r="A155" s="25" t="s">
        <v>1036</v>
      </c>
      <c r="B155" s="25" t="s">
        <v>499</v>
      </c>
      <c r="C155" s="25" t="s">
        <v>500</v>
      </c>
      <c r="D155" s="25" t="s">
        <v>501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11150</f>
        <v>11150</v>
      </c>
      <c r="L155" s="32" t="s">
        <v>907</v>
      </c>
      <c r="M155" s="31">
        <f>11390</f>
        <v>11390</v>
      </c>
      <c r="N155" s="32" t="s">
        <v>810</v>
      </c>
      <c r="O155" s="31">
        <f>10540</f>
        <v>10540</v>
      </c>
      <c r="P155" s="32" t="s">
        <v>820</v>
      </c>
      <c r="Q155" s="31">
        <f>11275</f>
        <v>11275</v>
      </c>
      <c r="R155" s="32" t="s">
        <v>818</v>
      </c>
      <c r="S155" s="33">
        <f>10941.25</f>
        <v>10941.25</v>
      </c>
      <c r="T155" s="30">
        <f>31620</f>
        <v>31620</v>
      </c>
      <c r="U155" s="30">
        <f>105</f>
        <v>105</v>
      </c>
      <c r="V155" s="30">
        <f>346603337</f>
        <v>346603337</v>
      </c>
      <c r="W155" s="30">
        <f>1056447</f>
        <v>1056447</v>
      </c>
      <c r="X155" s="34">
        <f>20</f>
        <v>20</v>
      </c>
    </row>
    <row r="156" spans="1:24" x14ac:dyDescent="0.15">
      <c r="A156" s="25" t="s">
        <v>1036</v>
      </c>
      <c r="B156" s="25" t="s">
        <v>502</v>
      </c>
      <c r="C156" s="25" t="s">
        <v>503</v>
      </c>
      <c r="D156" s="25" t="s">
        <v>504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2766</f>
        <v>2766</v>
      </c>
      <c r="L156" s="32" t="s">
        <v>907</v>
      </c>
      <c r="M156" s="31">
        <f>3090</f>
        <v>3090</v>
      </c>
      <c r="N156" s="32" t="s">
        <v>821</v>
      </c>
      <c r="O156" s="31">
        <f>2741</f>
        <v>2741</v>
      </c>
      <c r="P156" s="32" t="s">
        <v>907</v>
      </c>
      <c r="Q156" s="31">
        <f>3035</f>
        <v>3035</v>
      </c>
      <c r="R156" s="32" t="s">
        <v>818</v>
      </c>
      <c r="S156" s="33">
        <f>2969.9</f>
        <v>2969.9</v>
      </c>
      <c r="T156" s="30">
        <f>9450138</f>
        <v>9450138</v>
      </c>
      <c r="U156" s="30">
        <f>35721</f>
        <v>35721</v>
      </c>
      <c r="V156" s="30">
        <f>28126259939</f>
        <v>28126259939</v>
      </c>
      <c r="W156" s="30">
        <f>98988438</f>
        <v>98988438</v>
      </c>
      <c r="X156" s="34">
        <f>20</f>
        <v>20</v>
      </c>
    </row>
    <row r="157" spans="1:24" x14ac:dyDescent="0.15">
      <c r="A157" s="25" t="s">
        <v>1036</v>
      </c>
      <c r="B157" s="25" t="s">
        <v>505</v>
      </c>
      <c r="C157" s="25" t="s">
        <v>506</v>
      </c>
      <c r="D157" s="25" t="s">
        <v>507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22795</f>
        <v>22795</v>
      </c>
      <c r="L157" s="32" t="s">
        <v>907</v>
      </c>
      <c r="M157" s="31">
        <f>23450</f>
        <v>23450</v>
      </c>
      <c r="N157" s="32" t="s">
        <v>80</v>
      </c>
      <c r="O157" s="31">
        <f>22650</f>
        <v>22650</v>
      </c>
      <c r="P157" s="32" t="s">
        <v>907</v>
      </c>
      <c r="Q157" s="31">
        <f>22890</f>
        <v>22890</v>
      </c>
      <c r="R157" s="32" t="s">
        <v>818</v>
      </c>
      <c r="S157" s="33">
        <f>23071.75</f>
        <v>23071.75</v>
      </c>
      <c r="T157" s="30">
        <f>3372</f>
        <v>3372</v>
      </c>
      <c r="U157" s="30" t="str">
        <f>"－"</f>
        <v>－</v>
      </c>
      <c r="V157" s="30">
        <f>77932055</f>
        <v>77932055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1036</v>
      </c>
      <c r="B158" s="25" t="s">
        <v>508</v>
      </c>
      <c r="C158" s="25" t="s">
        <v>509</v>
      </c>
      <c r="D158" s="25" t="s">
        <v>510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2572</f>
        <v>2572</v>
      </c>
      <c r="L158" s="32" t="s">
        <v>907</v>
      </c>
      <c r="M158" s="31">
        <f>2811.5</f>
        <v>2811.5</v>
      </c>
      <c r="N158" s="32" t="s">
        <v>811</v>
      </c>
      <c r="O158" s="31">
        <f>2522.5</f>
        <v>2522.5</v>
      </c>
      <c r="P158" s="32" t="s">
        <v>819</v>
      </c>
      <c r="Q158" s="31">
        <f>2626</f>
        <v>2626</v>
      </c>
      <c r="R158" s="32" t="s">
        <v>818</v>
      </c>
      <c r="S158" s="33">
        <f>2648.25</f>
        <v>2648.25</v>
      </c>
      <c r="T158" s="30">
        <f>27840</f>
        <v>27840</v>
      </c>
      <c r="U158" s="30" t="str">
        <f>"－"</f>
        <v>－</v>
      </c>
      <c r="V158" s="30">
        <f>74246080</f>
        <v>74246080</v>
      </c>
      <c r="W158" s="30" t="str">
        <f>"－"</f>
        <v>－</v>
      </c>
      <c r="X158" s="34">
        <f>20</f>
        <v>20</v>
      </c>
    </row>
    <row r="159" spans="1:24" x14ac:dyDescent="0.15">
      <c r="A159" s="25" t="s">
        <v>1036</v>
      </c>
      <c r="B159" s="25" t="s">
        <v>511</v>
      </c>
      <c r="C159" s="25" t="s">
        <v>512</v>
      </c>
      <c r="D159" s="25" t="s">
        <v>513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11750</f>
        <v>11750</v>
      </c>
      <c r="L159" s="32" t="s">
        <v>907</v>
      </c>
      <c r="M159" s="31">
        <f>13120</f>
        <v>13120</v>
      </c>
      <c r="N159" s="32" t="s">
        <v>94</v>
      </c>
      <c r="O159" s="31">
        <f>11545</f>
        <v>11545</v>
      </c>
      <c r="P159" s="32" t="s">
        <v>907</v>
      </c>
      <c r="Q159" s="31">
        <f>12855</f>
        <v>12855</v>
      </c>
      <c r="R159" s="32" t="s">
        <v>818</v>
      </c>
      <c r="S159" s="33">
        <f>12419.5</f>
        <v>12419.5</v>
      </c>
      <c r="T159" s="30">
        <f>6373</f>
        <v>6373</v>
      </c>
      <c r="U159" s="30" t="str">
        <f>"－"</f>
        <v>－</v>
      </c>
      <c r="V159" s="30">
        <f>78804630</f>
        <v>78804630</v>
      </c>
      <c r="W159" s="30" t="str">
        <f>"－"</f>
        <v>－</v>
      </c>
      <c r="X159" s="34">
        <f>20</f>
        <v>20</v>
      </c>
    </row>
    <row r="160" spans="1:24" x14ac:dyDescent="0.15">
      <c r="A160" s="25" t="s">
        <v>1036</v>
      </c>
      <c r="B160" s="25" t="s">
        <v>514</v>
      </c>
      <c r="C160" s="25" t="s">
        <v>515</v>
      </c>
      <c r="D160" s="25" t="s">
        <v>516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28995</f>
        <v>28995</v>
      </c>
      <c r="L160" s="32" t="s">
        <v>907</v>
      </c>
      <c r="M160" s="31">
        <f>30970</f>
        <v>30970</v>
      </c>
      <c r="N160" s="32" t="s">
        <v>810</v>
      </c>
      <c r="O160" s="31">
        <f>25520</f>
        <v>25520</v>
      </c>
      <c r="P160" s="32" t="s">
        <v>818</v>
      </c>
      <c r="Q160" s="31">
        <f>26195</f>
        <v>26195</v>
      </c>
      <c r="R160" s="32" t="s">
        <v>818</v>
      </c>
      <c r="S160" s="33">
        <f>28356.75</f>
        <v>28356.75</v>
      </c>
      <c r="T160" s="30">
        <f>4174</f>
        <v>4174</v>
      </c>
      <c r="U160" s="30" t="str">
        <f>"－"</f>
        <v>－</v>
      </c>
      <c r="V160" s="30">
        <f>120279675</f>
        <v>120279675</v>
      </c>
      <c r="W160" s="30" t="str">
        <f>"－"</f>
        <v>－</v>
      </c>
      <c r="X160" s="34">
        <f>20</f>
        <v>20</v>
      </c>
    </row>
    <row r="161" spans="1:24" x14ac:dyDescent="0.15">
      <c r="A161" s="25" t="s">
        <v>1036</v>
      </c>
      <c r="B161" s="25" t="s">
        <v>517</v>
      </c>
      <c r="C161" s="25" t="s">
        <v>518</v>
      </c>
      <c r="D161" s="25" t="s">
        <v>519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18900</f>
        <v>18900</v>
      </c>
      <c r="L161" s="32" t="s">
        <v>907</v>
      </c>
      <c r="M161" s="31">
        <f>20075</f>
        <v>20075</v>
      </c>
      <c r="N161" s="32" t="s">
        <v>810</v>
      </c>
      <c r="O161" s="31">
        <f>18900</f>
        <v>18900</v>
      </c>
      <c r="P161" s="32" t="s">
        <v>907</v>
      </c>
      <c r="Q161" s="31">
        <f>19305</f>
        <v>19305</v>
      </c>
      <c r="R161" s="32" t="s">
        <v>818</v>
      </c>
      <c r="S161" s="33">
        <f>19515.42</f>
        <v>19515.419999999998</v>
      </c>
      <c r="T161" s="30">
        <f>408</f>
        <v>408</v>
      </c>
      <c r="U161" s="30" t="str">
        <f>"－"</f>
        <v>－</v>
      </c>
      <c r="V161" s="30">
        <f>8068870</f>
        <v>8068870</v>
      </c>
      <c r="W161" s="30" t="str">
        <f>"－"</f>
        <v>－</v>
      </c>
      <c r="X161" s="34">
        <f>12</f>
        <v>12</v>
      </c>
    </row>
    <row r="162" spans="1:24" x14ac:dyDescent="0.15">
      <c r="A162" s="25" t="s">
        <v>1036</v>
      </c>
      <c r="B162" s="25" t="s">
        <v>520</v>
      </c>
      <c r="C162" s="25" t="s">
        <v>521</v>
      </c>
      <c r="D162" s="25" t="s">
        <v>522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51060</f>
        <v>51060</v>
      </c>
      <c r="L162" s="32" t="s">
        <v>907</v>
      </c>
      <c r="M162" s="31">
        <f>52310</f>
        <v>52310</v>
      </c>
      <c r="N162" s="32" t="s">
        <v>818</v>
      </c>
      <c r="O162" s="31">
        <f>50540</f>
        <v>50540</v>
      </c>
      <c r="P162" s="32" t="s">
        <v>813</v>
      </c>
      <c r="Q162" s="31">
        <f>52210</f>
        <v>52210</v>
      </c>
      <c r="R162" s="32" t="s">
        <v>818</v>
      </c>
      <c r="S162" s="33">
        <f>51577</f>
        <v>51577</v>
      </c>
      <c r="T162" s="30">
        <f>25190</f>
        <v>25190</v>
      </c>
      <c r="U162" s="30">
        <f>21020</f>
        <v>21020</v>
      </c>
      <c r="V162" s="30">
        <f>1311546707</f>
        <v>1311546707</v>
      </c>
      <c r="W162" s="30">
        <f>1096168507</f>
        <v>1096168507</v>
      </c>
      <c r="X162" s="34">
        <f>20</f>
        <v>20</v>
      </c>
    </row>
    <row r="163" spans="1:24" x14ac:dyDescent="0.15">
      <c r="A163" s="25" t="s">
        <v>1036</v>
      </c>
      <c r="B163" s="25" t="s">
        <v>523</v>
      </c>
      <c r="C163" s="25" t="s">
        <v>524</v>
      </c>
      <c r="D163" s="25" t="s">
        <v>525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269.2</f>
        <v>269.2</v>
      </c>
      <c r="L163" s="32" t="s">
        <v>907</v>
      </c>
      <c r="M163" s="31">
        <f>289.9</f>
        <v>289.89999999999998</v>
      </c>
      <c r="N163" s="32" t="s">
        <v>818</v>
      </c>
      <c r="O163" s="31">
        <f>266.8</f>
        <v>266.8</v>
      </c>
      <c r="P163" s="32" t="s">
        <v>907</v>
      </c>
      <c r="Q163" s="31">
        <f>289</f>
        <v>289</v>
      </c>
      <c r="R163" s="32" t="s">
        <v>818</v>
      </c>
      <c r="S163" s="33">
        <f>279.04</f>
        <v>279.04000000000002</v>
      </c>
      <c r="T163" s="30">
        <f>12918800</f>
        <v>12918800</v>
      </c>
      <c r="U163" s="30">
        <f>500</f>
        <v>500</v>
      </c>
      <c r="V163" s="30">
        <f>3607709670</f>
        <v>3607709670</v>
      </c>
      <c r="W163" s="30">
        <f>145000</f>
        <v>145000</v>
      </c>
      <c r="X163" s="34">
        <f>20</f>
        <v>20</v>
      </c>
    </row>
    <row r="164" spans="1:24" x14ac:dyDescent="0.15">
      <c r="A164" s="25" t="s">
        <v>1036</v>
      </c>
      <c r="B164" s="25" t="s">
        <v>526</v>
      </c>
      <c r="C164" s="25" t="s">
        <v>527</v>
      </c>
      <c r="D164" s="25" t="s">
        <v>528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36090</f>
        <v>36090</v>
      </c>
      <c r="L164" s="32" t="s">
        <v>907</v>
      </c>
      <c r="M164" s="31">
        <f>42190</f>
        <v>42190</v>
      </c>
      <c r="N164" s="32" t="s">
        <v>818</v>
      </c>
      <c r="O164" s="31">
        <f>35960</f>
        <v>35960</v>
      </c>
      <c r="P164" s="32" t="s">
        <v>907</v>
      </c>
      <c r="Q164" s="31">
        <f>42110</f>
        <v>42110</v>
      </c>
      <c r="R164" s="32" t="s">
        <v>818</v>
      </c>
      <c r="S164" s="33">
        <f>38923.5</f>
        <v>38923.5</v>
      </c>
      <c r="T164" s="30">
        <f>15170</f>
        <v>15170</v>
      </c>
      <c r="U164" s="30">
        <f>20</f>
        <v>20</v>
      </c>
      <c r="V164" s="30">
        <f>601190100</f>
        <v>601190100</v>
      </c>
      <c r="W164" s="30">
        <f>812700</f>
        <v>812700</v>
      </c>
      <c r="X164" s="34">
        <f>20</f>
        <v>20</v>
      </c>
    </row>
    <row r="165" spans="1:24" x14ac:dyDescent="0.15">
      <c r="A165" s="25" t="s">
        <v>1036</v>
      </c>
      <c r="B165" s="25" t="s">
        <v>529</v>
      </c>
      <c r="C165" s="25" t="s">
        <v>530</v>
      </c>
      <c r="D165" s="25" t="s">
        <v>531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3650</f>
        <v>3650</v>
      </c>
      <c r="L165" s="32" t="s">
        <v>907</v>
      </c>
      <c r="M165" s="31">
        <f>4054</f>
        <v>4054</v>
      </c>
      <c r="N165" s="32" t="s">
        <v>818</v>
      </c>
      <c r="O165" s="31">
        <f>3633</f>
        <v>3633</v>
      </c>
      <c r="P165" s="32" t="s">
        <v>907</v>
      </c>
      <c r="Q165" s="31">
        <f>4047</f>
        <v>4047</v>
      </c>
      <c r="R165" s="32" t="s">
        <v>818</v>
      </c>
      <c r="S165" s="33">
        <f>3860.45</f>
        <v>3860.45</v>
      </c>
      <c r="T165" s="30">
        <f>69350</f>
        <v>69350</v>
      </c>
      <c r="U165" s="30" t="str">
        <f>"－"</f>
        <v>－</v>
      </c>
      <c r="V165" s="30">
        <f>267483710</f>
        <v>267483710</v>
      </c>
      <c r="W165" s="30" t="str">
        <f>"－"</f>
        <v>－</v>
      </c>
      <c r="X165" s="34">
        <f>20</f>
        <v>20</v>
      </c>
    </row>
    <row r="166" spans="1:24" x14ac:dyDescent="0.15">
      <c r="A166" s="25" t="s">
        <v>1036</v>
      </c>
      <c r="B166" s="25" t="s">
        <v>532</v>
      </c>
      <c r="C166" s="25" t="s">
        <v>533</v>
      </c>
      <c r="D166" s="25" t="s">
        <v>534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1604</f>
        <v>1604</v>
      </c>
      <c r="L166" s="32" t="s">
        <v>907</v>
      </c>
      <c r="M166" s="31">
        <f>1693</f>
        <v>1693</v>
      </c>
      <c r="N166" s="32" t="s">
        <v>80</v>
      </c>
      <c r="O166" s="31">
        <f>1582</f>
        <v>1582</v>
      </c>
      <c r="P166" s="32" t="s">
        <v>94</v>
      </c>
      <c r="Q166" s="31">
        <f>1595.5</f>
        <v>1595.5</v>
      </c>
      <c r="R166" s="32" t="s">
        <v>818</v>
      </c>
      <c r="S166" s="33">
        <f>1629.18</f>
        <v>1629.18</v>
      </c>
      <c r="T166" s="30">
        <f>120090</f>
        <v>120090</v>
      </c>
      <c r="U166" s="30">
        <f>20</f>
        <v>20</v>
      </c>
      <c r="V166" s="30">
        <f>194806665</f>
        <v>194806665</v>
      </c>
      <c r="W166" s="30">
        <f>32860</f>
        <v>32860</v>
      </c>
      <c r="X166" s="34">
        <f>20</f>
        <v>20</v>
      </c>
    </row>
    <row r="167" spans="1:24" x14ac:dyDescent="0.15">
      <c r="A167" s="25" t="s">
        <v>1036</v>
      </c>
      <c r="B167" s="25" t="s">
        <v>535</v>
      </c>
      <c r="C167" s="25" t="s">
        <v>536</v>
      </c>
      <c r="D167" s="25" t="s">
        <v>537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100</v>
      </c>
      <c r="K167" s="31">
        <f>208.2</f>
        <v>208.2</v>
      </c>
      <c r="L167" s="32" t="s">
        <v>907</v>
      </c>
      <c r="M167" s="31">
        <f>232.9</f>
        <v>232.9</v>
      </c>
      <c r="N167" s="32" t="s">
        <v>818</v>
      </c>
      <c r="O167" s="31">
        <f>207.9</f>
        <v>207.9</v>
      </c>
      <c r="P167" s="32" t="s">
        <v>907</v>
      </c>
      <c r="Q167" s="31">
        <f>227</f>
        <v>227</v>
      </c>
      <c r="R167" s="32" t="s">
        <v>818</v>
      </c>
      <c r="S167" s="33">
        <f>221.34</f>
        <v>221.34</v>
      </c>
      <c r="T167" s="30">
        <f>339900</f>
        <v>339900</v>
      </c>
      <c r="U167" s="30" t="str">
        <f t="shared" ref="U167:U172" si="8">"－"</f>
        <v>－</v>
      </c>
      <c r="V167" s="30">
        <f>75129790</f>
        <v>75129790</v>
      </c>
      <c r="W167" s="30" t="str">
        <f t="shared" ref="W167:W172" si="9">"－"</f>
        <v>－</v>
      </c>
      <c r="X167" s="34">
        <f>20</f>
        <v>20</v>
      </c>
    </row>
    <row r="168" spans="1:24" x14ac:dyDescent="0.15">
      <c r="A168" s="25" t="s">
        <v>1036</v>
      </c>
      <c r="B168" s="25" t="s">
        <v>538</v>
      </c>
      <c r="C168" s="25" t="s">
        <v>539</v>
      </c>
      <c r="D168" s="25" t="s">
        <v>540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1707</f>
        <v>1707</v>
      </c>
      <c r="L168" s="32" t="s">
        <v>907</v>
      </c>
      <c r="M168" s="31">
        <f>1773</f>
        <v>1773</v>
      </c>
      <c r="N168" s="32" t="s">
        <v>56</v>
      </c>
      <c r="O168" s="31">
        <f>1676.5</f>
        <v>1676.5</v>
      </c>
      <c r="P168" s="32" t="s">
        <v>820</v>
      </c>
      <c r="Q168" s="31">
        <f>1727</f>
        <v>1727</v>
      </c>
      <c r="R168" s="32" t="s">
        <v>818</v>
      </c>
      <c r="S168" s="33">
        <f>1721.73</f>
        <v>1721.73</v>
      </c>
      <c r="T168" s="30">
        <f>2930</f>
        <v>2930</v>
      </c>
      <c r="U168" s="30" t="str">
        <f t="shared" si="8"/>
        <v>－</v>
      </c>
      <c r="V168" s="30">
        <f>5089590</f>
        <v>5089590</v>
      </c>
      <c r="W168" s="30" t="str">
        <f t="shared" si="9"/>
        <v>－</v>
      </c>
      <c r="X168" s="34">
        <f>15</f>
        <v>15</v>
      </c>
    </row>
    <row r="169" spans="1:24" x14ac:dyDescent="0.15">
      <c r="A169" s="25" t="s">
        <v>1036</v>
      </c>
      <c r="B169" s="25" t="s">
        <v>541</v>
      </c>
      <c r="C169" s="25" t="s">
        <v>542</v>
      </c>
      <c r="D169" s="25" t="s">
        <v>543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710.6</f>
        <v>710.6</v>
      </c>
      <c r="L169" s="32" t="s">
        <v>907</v>
      </c>
      <c r="M169" s="31">
        <f>779.8</f>
        <v>779.8</v>
      </c>
      <c r="N169" s="32" t="s">
        <v>695</v>
      </c>
      <c r="O169" s="31">
        <f>710.6</f>
        <v>710.6</v>
      </c>
      <c r="P169" s="32" t="s">
        <v>907</v>
      </c>
      <c r="Q169" s="31">
        <f>749.8</f>
        <v>749.8</v>
      </c>
      <c r="R169" s="32" t="s">
        <v>818</v>
      </c>
      <c r="S169" s="33">
        <f>746.66</f>
        <v>746.66</v>
      </c>
      <c r="T169" s="30">
        <f>27610</f>
        <v>27610</v>
      </c>
      <c r="U169" s="30" t="str">
        <f t="shared" si="8"/>
        <v>－</v>
      </c>
      <c r="V169" s="30">
        <f>20812703</f>
        <v>20812703</v>
      </c>
      <c r="W169" s="30" t="str">
        <f t="shared" si="9"/>
        <v>－</v>
      </c>
      <c r="X169" s="34">
        <f>20</f>
        <v>20</v>
      </c>
    </row>
    <row r="170" spans="1:24" x14ac:dyDescent="0.15">
      <c r="A170" s="25" t="s">
        <v>1036</v>
      </c>
      <c r="B170" s="25" t="s">
        <v>544</v>
      </c>
      <c r="C170" s="25" t="s">
        <v>545</v>
      </c>
      <c r="D170" s="25" t="s">
        <v>546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2044</f>
        <v>2044</v>
      </c>
      <c r="L170" s="32" t="s">
        <v>907</v>
      </c>
      <c r="M170" s="31">
        <f>2150</f>
        <v>2150</v>
      </c>
      <c r="N170" s="32" t="s">
        <v>80</v>
      </c>
      <c r="O170" s="31">
        <f>2000.5</f>
        <v>2000.5</v>
      </c>
      <c r="P170" s="32" t="s">
        <v>907</v>
      </c>
      <c r="Q170" s="31">
        <f>2069</f>
        <v>2069</v>
      </c>
      <c r="R170" s="32" t="s">
        <v>818</v>
      </c>
      <c r="S170" s="33">
        <f>2091.62</f>
        <v>2091.62</v>
      </c>
      <c r="T170" s="30">
        <f>3730</f>
        <v>3730</v>
      </c>
      <c r="U170" s="30" t="str">
        <f t="shared" si="8"/>
        <v>－</v>
      </c>
      <c r="V170" s="30">
        <f>7806275</f>
        <v>7806275</v>
      </c>
      <c r="W170" s="30" t="str">
        <f t="shared" si="9"/>
        <v>－</v>
      </c>
      <c r="X170" s="34">
        <f>17</f>
        <v>17</v>
      </c>
    </row>
    <row r="171" spans="1:24" x14ac:dyDescent="0.15">
      <c r="A171" s="25" t="s">
        <v>1036</v>
      </c>
      <c r="B171" s="25" t="s">
        <v>547</v>
      </c>
      <c r="C171" s="25" t="s">
        <v>548</v>
      </c>
      <c r="D171" s="25" t="s">
        <v>549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957.7</f>
        <v>957.7</v>
      </c>
      <c r="L171" s="32" t="s">
        <v>907</v>
      </c>
      <c r="M171" s="31">
        <f>984.7</f>
        <v>984.7</v>
      </c>
      <c r="N171" s="32" t="s">
        <v>820</v>
      </c>
      <c r="O171" s="31">
        <f>947.3</f>
        <v>947.3</v>
      </c>
      <c r="P171" s="32" t="s">
        <v>94</v>
      </c>
      <c r="Q171" s="31">
        <f>974.8</f>
        <v>974.8</v>
      </c>
      <c r="R171" s="32" t="s">
        <v>818</v>
      </c>
      <c r="S171" s="33">
        <f>968.6</f>
        <v>968.6</v>
      </c>
      <c r="T171" s="30">
        <f>63300</f>
        <v>63300</v>
      </c>
      <c r="U171" s="30" t="str">
        <f t="shared" si="8"/>
        <v>－</v>
      </c>
      <c r="V171" s="30">
        <f>61489883</f>
        <v>61489883</v>
      </c>
      <c r="W171" s="30" t="str">
        <f t="shared" si="9"/>
        <v>－</v>
      </c>
      <c r="X171" s="34">
        <f>20</f>
        <v>20</v>
      </c>
    </row>
    <row r="172" spans="1:24" x14ac:dyDescent="0.15">
      <c r="A172" s="25" t="s">
        <v>1036</v>
      </c>
      <c r="B172" s="25" t="s">
        <v>550</v>
      </c>
      <c r="C172" s="25" t="s">
        <v>551</v>
      </c>
      <c r="D172" s="25" t="s">
        <v>552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715.8</f>
        <v>715.8</v>
      </c>
      <c r="L172" s="32" t="s">
        <v>907</v>
      </c>
      <c r="M172" s="31">
        <f>748</f>
        <v>748</v>
      </c>
      <c r="N172" s="32" t="s">
        <v>818</v>
      </c>
      <c r="O172" s="31">
        <f>704.1</f>
        <v>704.1</v>
      </c>
      <c r="P172" s="32" t="s">
        <v>70</v>
      </c>
      <c r="Q172" s="31">
        <f>736.2</f>
        <v>736.2</v>
      </c>
      <c r="R172" s="32" t="s">
        <v>818</v>
      </c>
      <c r="S172" s="33">
        <f>721.26</f>
        <v>721.26</v>
      </c>
      <c r="T172" s="30">
        <f>369820</f>
        <v>369820</v>
      </c>
      <c r="U172" s="30" t="str">
        <f t="shared" si="8"/>
        <v>－</v>
      </c>
      <c r="V172" s="30">
        <f>268057988</f>
        <v>268057988</v>
      </c>
      <c r="W172" s="30" t="str">
        <f t="shared" si="9"/>
        <v>－</v>
      </c>
      <c r="X172" s="34">
        <f>20</f>
        <v>20</v>
      </c>
    </row>
    <row r="173" spans="1:24" x14ac:dyDescent="0.15">
      <c r="A173" s="25" t="s">
        <v>1036</v>
      </c>
      <c r="B173" s="25" t="s">
        <v>553</v>
      </c>
      <c r="C173" s="25" t="s">
        <v>554</v>
      </c>
      <c r="D173" s="25" t="s">
        <v>555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4.1</f>
        <v>4.0999999999999996</v>
      </c>
      <c r="L173" s="32" t="s">
        <v>907</v>
      </c>
      <c r="M173" s="31">
        <f>4.3</f>
        <v>4.3</v>
      </c>
      <c r="N173" s="32" t="s">
        <v>80</v>
      </c>
      <c r="O173" s="31">
        <f>3.2</f>
        <v>3.2</v>
      </c>
      <c r="P173" s="32" t="s">
        <v>820</v>
      </c>
      <c r="Q173" s="31">
        <f>3.6</f>
        <v>3.6</v>
      </c>
      <c r="R173" s="32" t="s">
        <v>818</v>
      </c>
      <c r="S173" s="33">
        <f>3.8</f>
        <v>3.8</v>
      </c>
      <c r="T173" s="30">
        <f>558766100</f>
        <v>558766100</v>
      </c>
      <c r="U173" s="30">
        <f>200000</f>
        <v>200000</v>
      </c>
      <c r="V173" s="30">
        <f>2099079070</f>
        <v>2099079070</v>
      </c>
      <c r="W173" s="30">
        <f>775000</f>
        <v>775000</v>
      </c>
      <c r="X173" s="34">
        <f>20</f>
        <v>20</v>
      </c>
    </row>
    <row r="174" spans="1:24" x14ac:dyDescent="0.15">
      <c r="A174" s="25" t="s">
        <v>1036</v>
      </c>
      <c r="B174" s="25" t="s">
        <v>556</v>
      </c>
      <c r="C174" s="25" t="s">
        <v>557</v>
      </c>
      <c r="D174" s="25" t="s">
        <v>558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1287.5</f>
        <v>1287.5</v>
      </c>
      <c r="L174" s="32" t="s">
        <v>907</v>
      </c>
      <c r="M174" s="31">
        <f>1441</f>
        <v>1441</v>
      </c>
      <c r="N174" s="32" t="s">
        <v>821</v>
      </c>
      <c r="O174" s="31">
        <f>1283</f>
        <v>1283</v>
      </c>
      <c r="P174" s="32" t="s">
        <v>907</v>
      </c>
      <c r="Q174" s="31">
        <f>1419</f>
        <v>1419</v>
      </c>
      <c r="R174" s="32" t="s">
        <v>818</v>
      </c>
      <c r="S174" s="33">
        <f>1386.9</f>
        <v>1386.9</v>
      </c>
      <c r="T174" s="30">
        <f>125740</f>
        <v>125740</v>
      </c>
      <c r="U174" s="30" t="str">
        <f t="shared" ref="U174:U181" si="10">"－"</f>
        <v>－</v>
      </c>
      <c r="V174" s="30">
        <f>176359955</f>
        <v>176359955</v>
      </c>
      <c r="W174" s="30" t="str">
        <f t="shared" ref="W174:W181" si="11">"－"</f>
        <v>－</v>
      </c>
      <c r="X174" s="34">
        <f>20</f>
        <v>20</v>
      </c>
    </row>
    <row r="175" spans="1:24" x14ac:dyDescent="0.15">
      <c r="A175" s="25" t="s">
        <v>1036</v>
      </c>
      <c r="B175" s="25" t="s">
        <v>559</v>
      </c>
      <c r="C175" s="25" t="s">
        <v>560</v>
      </c>
      <c r="D175" s="25" t="s">
        <v>561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</v>
      </c>
      <c r="K175" s="31">
        <f>6104</f>
        <v>6104</v>
      </c>
      <c r="L175" s="32" t="s">
        <v>907</v>
      </c>
      <c r="M175" s="31">
        <f>7100</f>
        <v>7100</v>
      </c>
      <c r="N175" s="32" t="s">
        <v>818</v>
      </c>
      <c r="O175" s="31">
        <f>6050</f>
        <v>6050</v>
      </c>
      <c r="P175" s="32" t="s">
        <v>907</v>
      </c>
      <c r="Q175" s="31">
        <f>6864</f>
        <v>6864</v>
      </c>
      <c r="R175" s="32" t="s">
        <v>818</v>
      </c>
      <c r="S175" s="33">
        <f>6725.9</f>
        <v>6725.9</v>
      </c>
      <c r="T175" s="30">
        <f>3497</f>
        <v>3497</v>
      </c>
      <c r="U175" s="30" t="str">
        <f t="shared" si="10"/>
        <v>－</v>
      </c>
      <c r="V175" s="30">
        <f>23487551</f>
        <v>23487551</v>
      </c>
      <c r="W175" s="30" t="str">
        <f t="shared" si="11"/>
        <v>－</v>
      </c>
      <c r="X175" s="34">
        <f>20</f>
        <v>20</v>
      </c>
    </row>
    <row r="176" spans="1:24" x14ac:dyDescent="0.15">
      <c r="A176" s="25" t="s">
        <v>1036</v>
      </c>
      <c r="B176" s="25" t="s">
        <v>562</v>
      </c>
      <c r="C176" s="25" t="s">
        <v>563</v>
      </c>
      <c r="D176" s="25" t="s">
        <v>564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437.1</f>
        <v>437.1</v>
      </c>
      <c r="L176" s="32" t="s">
        <v>907</v>
      </c>
      <c r="M176" s="31">
        <f>486.8</f>
        <v>486.8</v>
      </c>
      <c r="N176" s="32" t="s">
        <v>695</v>
      </c>
      <c r="O176" s="31">
        <f>423.5</f>
        <v>423.5</v>
      </c>
      <c r="P176" s="32" t="s">
        <v>907</v>
      </c>
      <c r="Q176" s="31">
        <f>448.7</f>
        <v>448.7</v>
      </c>
      <c r="R176" s="32" t="s">
        <v>818</v>
      </c>
      <c r="S176" s="33">
        <f>458.75</f>
        <v>458.75</v>
      </c>
      <c r="T176" s="30">
        <f>139800</f>
        <v>139800</v>
      </c>
      <c r="U176" s="30" t="str">
        <f t="shared" si="10"/>
        <v>－</v>
      </c>
      <c r="V176" s="30">
        <f>64716390</f>
        <v>64716390</v>
      </c>
      <c r="W176" s="30" t="str">
        <f t="shared" si="11"/>
        <v>－</v>
      </c>
      <c r="X176" s="34">
        <f>20</f>
        <v>20</v>
      </c>
    </row>
    <row r="177" spans="1:24" x14ac:dyDescent="0.15">
      <c r="A177" s="25" t="s">
        <v>1036</v>
      </c>
      <c r="B177" s="25" t="s">
        <v>565</v>
      </c>
      <c r="C177" s="25" t="s">
        <v>566</v>
      </c>
      <c r="D177" s="25" t="s">
        <v>567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4346</f>
        <v>4346</v>
      </c>
      <c r="L177" s="32" t="s">
        <v>907</v>
      </c>
      <c r="M177" s="31">
        <f>4550</f>
        <v>4550</v>
      </c>
      <c r="N177" s="32" t="s">
        <v>820</v>
      </c>
      <c r="O177" s="31">
        <f>4269</f>
        <v>4269</v>
      </c>
      <c r="P177" s="32" t="s">
        <v>907</v>
      </c>
      <c r="Q177" s="31">
        <f>4420</f>
        <v>4420</v>
      </c>
      <c r="R177" s="32" t="s">
        <v>818</v>
      </c>
      <c r="S177" s="33">
        <f>4431.2</f>
        <v>4431.2</v>
      </c>
      <c r="T177" s="30">
        <f>38530</f>
        <v>38530</v>
      </c>
      <c r="U177" s="30" t="str">
        <f t="shared" si="10"/>
        <v>－</v>
      </c>
      <c r="V177" s="30">
        <f>171413970</f>
        <v>171413970</v>
      </c>
      <c r="W177" s="30" t="str">
        <f t="shared" si="11"/>
        <v>－</v>
      </c>
      <c r="X177" s="34">
        <f>20</f>
        <v>20</v>
      </c>
    </row>
    <row r="178" spans="1:24" x14ac:dyDescent="0.15">
      <c r="A178" s="25" t="s">
        <v>1036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2887.5</f>
        <v>2887.5</v>
      </c>
      <c r="L178" s="32" t="s">
        <v>907</v>
      </c>
      <c r="M178" s="31">
        <f>3111</f>
        <v>3111</v>
      </c>
      <c r="N178" s="32" t="s">
        <v>266</v>
      </c>
      <c r="O178" s="31">
        <f>2850.5</f>
        <v>2850.5</v>
      </c>
      <c r="P178" s="32" t="s">
        <v>907</v>
      </c>
      <c r="Q178" s="31">
        <f>2996</f>
        <v>2996</v>
      </c>
      <c r="R178" s="32" t="s">
        <v>818</v>
      </c>
      <c r="S178" s="33">
        <f>3015.8</f>
        <v>3015.8</v>
      </c>
      <c r="T178" s="30">
        <f>17520</f>
        <v>17520</v>
      </c>
      <c r="U178" s="30" t="str">
        <f t="shared" si="10"/>
        <v>－</v>
      </c>
      <c r="V178" s="30">
        <f>52929060</f>
        <v>52929060</v>
      </c>
      <c r="W178" s="30" t="str">
        <f t="shared" si="11"/>
        <v>－</v>
      </c>
      <c r="X178" s="34">
        <f>20</f>
        <v>20</v>
      </c>
    </row>
    <row r="179" spans="1:24" x14ac:dyDescent="0.15">
      <c r="A179" s="25" t="s">
        <v>1036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134.7</f>
        <v>134.69999999999999</v>
      </c>
      <c r="L179" s="32" t="s">
        <v>907</v>
      </c>
      <c r="M179" s="31">
        <f>136.7</f>
        <v>136.69999999999999</v>
      </c>
      <c r="N179" s="32" t="s">
        <v>821</v>
      </c>
      <c r="O179" s="31">
        <f>121.8</f>
        <v>121.8</v>
      </c>
      <c r="P179" s="32" t="s">
        <v>94</v>
      </c>
      <c r="Q179" s="31">
        <f>130.1</f>
        <v>130.1</v>
      </c>
      <c r="R179" s="32" t="s">
        <v>818</v>
      </c>
      <c r="S179" s="33">
        <f>128.89</f>
        <v>128.88999999999999</v>
      </c>
      <c r="T179" s="30">
        <f>14619200</f>
        <v>14619200</v>
      </c>
      <c r="U179" s="30" t="str">
        <f t="shared" si="10"/>
        <v>－</v>
      </c>
      <c r="V179" s="30">
        <f>1900629980</f>
        <v>1900629980</v>
      </c>
      <c r="W179" s="30" t="str">
        <f t="shared" si="11"/>
        <v>－</v>
      </c>
      <c r="X179" s="34">
        <f>20</f>
        <v>20</v>
      </c>
    </row>
    <row r="180" spans="1:24" x14ac:dyDescent="0.15">
      <c r="A180" s="25" t="s">
        <v>1036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195.5</f>
        <v>195.5</v>
      </c>
      <c r="L180" s="32" t="s">
        <v>907</v>
      </c>
      <c r="M180" s="31">
        <f>206</f>
        <v>206</v>
      </c>
      <c r="N180" s="32" t="s">
        <v>818</v>
      </c>
      <c r="O180" s="31">
        <f>192.4</f>
        <v>192.4</v>
      </c>
      <c r="P180" s="32" t="s">
        <v>70</v>
      </c>
      <c r="Q180" s="31">
        <f>205.3</f>
        <v>205.3</v>
      </c>
      <c r="R180" s="32" t="s">
        <v>818</v>
      </c>
      <c r="S180" s="33">
        <f>200.28</f>
        <v>200.28</v>
      </c>
      <c r="T180" s="30">
        <f>838900</f>
        <v>838900</v>
      </c>
      <c r="U180" s="30" t="str">
        <f t="shared" si="10"/>
        <v>－</v>
      </c>
      <c r="V180" s="30">
        <f>168152160</f>
        <v>168152160</v>
      </c>
      <c r="W180" s="30" t="str">
        <f t="shared" si="11"/>
        <v>－</v>
      </c>
      <c r="X180" s="34">
        <f>20</f>
        <v>20</v>
      </c>
    </row>
    <row r="181" spans="1:24" x14ac:dyDescent="0.15">
      <c r="A181" s="25" t="s">
        <v>1036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4045</f>
        <v>4045</v>
      </c>
      <c r="L181" s="32" t="s">
        <v>907</v>
      </c>
      <c r="M181" s="31">
        <f>4248</f>
        <v>4248</v>
      </c>
      <c r="N181" s="32" t="s">
        <v>818</v>
      </c>
      <c r="O181" s="31">
        <f>4009</f>
        <v>4009</v>
      </c>
      <c r="P181" s="32" t="s">
        <v>70</v>
      </c>
      <c r="Q181" s="31">
        <f>4212</f>
        <v>4212</v>
      </c>
      <c r="R181" s="32" t="s">
        <v>818</v>
      </c>
      <c r="S181" s="33">
        <f>4141.9</f>
        <v>4141.8999999999996</v>
      </c>
      <c r="T181" s="30">
        <f>15200</f>
        <v>15200</v>
      </c>
      <c r="U181" s="30" t="str">
        <f t="shared" si="10"/>
        <v>－</v>
      </c>
      <c r="V181" s="30">
        <f>62878160</f>
        <v>62878160</v>
      </c>
      <c r="W181" s="30" t="str">
        <f t="shared" si="11"/>
        <v>－</v>
      </c>
      <c r="X181" s="34">
        <f>20</f>
        <v>20</v>
      </c>
    </row>
    <row r="182" spans="1:24" x14ac:dyDescent="0.15">
      <c r="A182" s="25" t="s">
        <v>1036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1916</f>
        <v>1916</v>
      </c>
      <c r="L182" s="32" t="s">
        <v>907</v>
      </c>
      <c r="M182" s="31">
        <f>2030.5</f>
        <v>2030.5</v>
      </c>
      <c r="N182" s="32" t="s">
        <v>70</v>
      </c>
      <c r="O182" s="31">
        <f>1909</f>
        <v>1909</v>
      </c>
      <c r="P182" s="32" t="s">
        <v>907</v>
      </c>
      <c r="Q182" s="31">
        <f>2000</f>
        <v>2000</v>
      </c>
      <c r="R182" s="32" t="s">
        <v>818</v>
      </c>
      <c r="S182" s="33">
        <f>1976.58</f>
        <v>1976.58</v>
      </c>
      <c r="T182" s="30">
        <f>59920</f>
        <v>59920</v>
      </c>
      <c r="U182" s="30">
        <f>10330</f>
        <v>10330</v>
      </c>
      <c r="V182" s="30">
        <f>118573946</f>
        <v>118573946</v>
      </c>
      <c r="W182" s="30">
        <f>20042266</f>
        <v>20042266</v>
      </c>
      <c r="X182" s="34">
        <f>20</f>
        <v>20</v>
      </c>
    </row>
    <row r="183" spans="1:24" x14ac:dyDescent="0.15">
      <c r="A183" s="25" t="s">
        <v>1036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350.4</f>
        <v>350.4</v>
      </c>
      <c r="L183" s="32" t="s">
        <v>907</v>
      </c>
      <c r="M183" s="31">
        <f>393.4</f>
        <v>393.4</v>
      </c>
      <c r="N183" s="32" t="s">
        <v>821</v>
      </c>
      <c r="O183" s="31">
        <f>347.4</f>
        <v>347.4</v>
      </c>
      <c r="P183" s="32" t="s">
        <v>907</v>
      </c>
      <c r="Q183" s="31">
        <f>384.2</f>
        <v>384.2</v>
      </c>
      <c r="R183" s="32" t="s">
        <v>818</v>
      </c>
      <c r="S183" s="33">
        <f>376.07</f>
        <v>376.07</v>
      </c>
      <c r="T183" s="30">
        <f>39219530</f>
        <v>39219530</v>
      </c>
      <c r="U183" s="30">
        <f>3480</f>
        <v>3480</v>
      </c>
      <c r="V183" s="30">
        <f>14814248595</f>
        <v>14814248595</v>
      </c>
      <c r="W183" s="30">
        <f>1316410</f>
        <v>1316410</v>
      </c>
      <c r="X183" s="34">
        <f>20</f>
        <v>20</v>
      </c>
    </row>
    <row r="184" spans="1:24" x14ac:dyDescent="0.15">
      <c r="A184" s="25" t="s">
        <v>1036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5119</f>
        <v>5119</v>
      </c>
      <c r="L184" s="32" t="s">
        <v>907</v>
      </c>
      <c r="M184" s="31">
        <f>5530</f>
        <v>5530</v>
      </c>
      <c r="N184" s="32" t="s">
        <v>80</v>
      </c>
      <c r="O184" s="31">
        <f>3630</f>
        <v>3630</v>
      </c>
      <c r="P184" s="32" t="s">
        <v>818</v>
      </c>
      <c r="Q184" s="31">
        <f>3860</f>
        <v>3860</v>
      </c>
      <c r="R184" s="32" t="s">
        <v>818</v>
      </c>
      <c r="S184" s="33">
        <f>4702.5</f>
        <v>4702.5</v>
      </c>
      <c r="T184" s="30">
        <f>216137</f>
        <v>216137</v>
      </c>
      <c r="U184" s="30">
        <f>5000</f>
        <v>5000</v>
      </c>
      <c r="V184" s="30">
        <f>961203541</f>
        <v>961203541</v>
      </c>
      <c r="W184" s="30">
        <f>22100000</f>
        <v>22100000</v>
      </c>
      <c r="X184" s="34">
        <f>20</f>
        <v>20</v>
      </c>
    </row>
    <row r="185" spans="1:24" x14ac:dyDescent="0.15">
      <c r="A185" s="25" t="s">
        <v>1036</v>
      </c>
      <c r="B185" s="25" t="s">
        <v>590</v>
      </c>
      <c r="C185" s="25" t="s">
        <v>591</v>
      </c>
      <c r="D185" s="25" t="s">
        <v>592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9955</f>
        <v>9955</v>
      </c>
      <c r="L185" s="32" t="s">
        <v>907</v>
      </c>
      <c r="M185" s="31">
        <f>11795</f>
        <v>11795</v>
      </c>
      <c r="N185" s="32" t="s">
        <v>818</v>
      </c>
      <c r="O185" s="31">
        <f>9331</f>
        <v>9331</v>
      </c>
      <c r="P185" s="32" t="s">
        <v>810</v>
      </c>
      <c r="Q185" s="31">
        <f>11615</f>
        <v>11615</v>
      </c>
      <c r="R185" s="32" t="s">
        <v>818</v>
      </c>
      <c r="S185" s="33">
        <f>10490.5</f>
        <v>10490.5</v>
      </c>
      <c r="T185" s="30">
        <f>29288</f>
        <v>29288</v>
      </c>
      <c r="U185" s="30" t="str">
        <f>"－"</f>
        <v>－</v>
      </c>
      <c r="V185" s="30">
        <f>311484456</f>
        <v>311484456</v>
      </c>
      <c r="W185" s="30" t="str">
        <f>"－"</f>
        <v>－</v>
      </c>
      <c r="X185" s="34">
        <f>20</f>
        <v>20</v>
      </c>
    </row>
    <row r="186" spans="1:24" x14ac:dyDescent="0.15">
      <c r="A186" s="25" t="s">
        <v>1036</v>
      </c>
      <c r="B186" s="25" t="s">
        <v>593</v>
      </c>
      <c r="C186" s="25" t="s">
        <v>594</v>
      </c>
      <c r="D186" s="25" t="s">
        <v>595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8300</f>
        <v>8300</v>
      </c>
      <c r="L186" s="32" t="s">
        <v>907</v>
      </c>
      <c r="M186" s="31">
        <f>9806</f>
        <v>9806</v>
      </c>
      <c r="N186" s="32" t="s">
        <v>94</v>
      </c>
      <c r="O186" s="31">
        <f>8253</f>
        <v>8253</v>
      </c>
      <c r="P186" s="32" t="s">
        <v>811</v>
      </c>
      <c r="Q186" s="31">
        <f>9660</f>
        <v>9660</v>
      </c>
      <c r="R186" s="32" t="s">
        <v>818</v>
      </c>
      <c r="S186" s="33">
        <f>9108.58</f>
        <v>9108.58</v>
      </c>
      <c r="T186" s="30">
        <f>398</f>
        <v>398</v>
      </c>
      <c r="U186" s="30" t="str">
        <f>"－"</f>
        <v>－</v>
      </c>
      <c r="V186" s="30">
        <f>3552480</f>
        <v>3552480</v>
      </c>
      <c r="W186" s="30" t="str">
        <f>"－"</f>
        <v>－</v>
      </c>
      <c r="X186" s="34">
        <f>19</f>
        <v>19</v>
      </c>
    </row>
    <row r="187" spans="1:24" x14ac:dyDescent="0.15">
      <c r="A187" s="25" t="s">
        <v>1036</v>
      </c>
      <c r="B187" s="25" t="s">
        <v>596</v>
      </c>
      <c r="C187" s="25" t="s">
        <v>597</v>
      </c>
      <c r="D187" s="25" t="s">
        <v>598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8950</f>
        <v>8950</v>
      </c>
      <c r="L187" s="32" t="s">
        <v>907</v>
      </c>
      <c r="M187" s="31">
        <f>9029</f>
        <v>9029</v>
      </c>
      <c r="N187" s="32" t="s">
        <v>907</v>
      </c>
      <c r="O187" s="31">
        <f>8466</f>
        <v>8466</v>
      </c>
      <c r="P187" s="32" t="s">
        <v>94</v>
      </c>
      <c r="Q187" s="31">
        <f>8549</f>
        <v>8549</v>
      </c>
      <c r="R187" s="32" t="s">
        <v>818</v>
      </c>
      <c r="S187" s="33">
        <f>8757.85</f>
        <v>8757.85</v>
      </c>
      <c r="T187" s="30">
        <f>30406</f>
        <v>30406</v>
      </c>
      <c r="U187" s="30" t="str">
        <f>"－"</f>
        <v>－</v>
      </c>
      <c r="V187" s="30">
        <f>266085806</f>
        <v>266085806</v>
      </c>
      <c r="W187" s="30" t="str">
        <f>"－"</f>
        <v>－</v>
      </c>
      <c r="X187" s="34">
        <f>20</f>
        <v>20</v>
      </c>
    </row>
    <row r="188" spans="1:24" x14ac:dyDescent="0.15">
      <c r="A188" s="25" t="s">
        <v>1036</v>
      </c>
      <c r="B188" s="25" t="s">
        <v>602</v>
      </c>
      <c r="C188" s="25" t="s">
        <v>603</v>
      </c>
      <c r="D188" s="25" t="s">
        <v>604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25240</f>
        <v>25240</v>
      </c>
      <c r="L188" s="32" t="s">
        <v>907</v>
      </c>
      <c r="M188" s="31">
        <f>26920</f>
        <v>26920</v>
      </c>
      <c r="N188" s="32" t="s">
        <v>810</v>
      </c>
      <c r="O188" s="31">
        <f>25240</f>
        <v>25240</v>
      </c>
      <c r="P188" s="32" t="s">
        <v>907</v>
      </c>
      <c r="Q188" s="31">
        <f>25700</f>
        <v>25700</v>
      </c>
      <c r="R188" s="32" t="s">
        <v>818</v>
      </c>
      <c r="S188" s="33">
        <f>26151.25</f>
        <v>26151.25</v>
      </c>
      <c r="T188" s="30">
        <f>30689</f>
        <v>30689</v>
      </c>
      <c r="U188" s="30" t="str">
        <f>"－"</f>
        <v>－</v>
      </c>
      <c r="V188" s="30">
        <f>805379380</f>
        <v>805379380</v>
      </c>
      <c r="W188" s="30" t="str">
        <f>"－"</f>
        <v>－</v>
      </c>
      <c r="X188" s="34">
        <f>20</f>
        <v>20</v>
      </c>
    </row>
    <row r="189" spans="1:24" x14ac:dyDescent="0.15">
      <c r="A189" s="25" t="s">
        <v>1036</v>
      </c>
      <c r="B189" s="25" t="s">
        <v>605</v>
      </c>
      <c r="C189" s="25" t="s">
        <v>606</v>
      </c>
      <c r="D189" s="25" t="s">
        <v>607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4405</f>
        <v>4405</v>
      </c>
      <c r="L189" s="32" t="s">
        <v>907</v>
      </c>
      <c r="M189" s="31">
        <f>4450</f>
        <v>4450</v>
      </c>
      <c r="N189" s="32" t="s">
        <v>907</v>
      </c>
      <c r="O189" s="31">
        <f>4265</f>
        <v>4265</v>
      </c>
      <c r="P189" s="32" t="s">
        <v>810</v>
      </c>
      <c r="Q189" s="31">
        <f>4360</f>
        <v>4360</v>
      </c>
      <c r="R189" s="32" t="s">
        <v>818</v>
      </c>
      <c r="S189" s="33">
        <f>4349.75</f>
        <v>4349.75</v>
      </c>
      <c r="T189" s="30">
        <f>9960</f>
        <v>9960</v>
      </c>
      <c r="U189" s="30" t="str">
        <f>"－"</f>
        <v>－</v>
      </c>
      <c r="V189" s="30">
        <f>43420625</f>
        <v>43420625</v>
      </c>
      <c r="W189" s="30" t="str">
        <f>"－"</f>
        <v>－</v>
      </c>
      <c r="X189" s="34">
        <f>20</f>
        <v>20</v>
      </c>
    </row>
    <row r="190" spans="1:24" x14ac:dyDescent="0.15">
      <c r="A190" s="25" t="s">
        <v>1036</v>
      </c>
      <c r="B190" s="25" t="s">
        <v>608</v>
      </c>
      <c r="C190" s="25" t="s">
        <v>609</v>
      </c>
      <c r="D190" s="25" t="s">
        <v>610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1448</f>
        <v>1448</v>
      </c>
      <c r="L190" s="32" t="s">
        <v>907</v>
      </c>
      <c r="M190" s="31">
        <f>1760</f>
        <v>1760</v>
      </c>
      <c r="N190" s="32" t="s">
        <v>821</v>
      </c>
      <c r="O190" s="31">
        <f>1421</f>
        <v>1421</v>
      </c>
      <c r="P190" s="32" t="s">
        <v>907</v>
      </c>
      <c r="Q190" s="31">
        <f>1697</f>
        <v>1697</v>
      </c>
      <c r="R190" s="32" t="s">
        <v>818</v>
      </c>
      <c r="S190" s="33">
        <f>1642.2</f>
        <v>1642.2</v>
      </c>
      <c r="T190" s="30">
        <f>29868347</f>
        <v>29868347</v>
      </c>
      <c r="U190" s="30">
        <f>12</f>
        <v>12</v>
      </c>
      <c r="V190" s="30">
        <f>49293068424</f>
        <v>49293068424</v>
      </c>
      <c r="W190" s="30">
        <f>20426</f>
        <v>20426</v>
      </c>
      <c r="X190" s="34">
        <f>20</f>
        <v>20</v>
      </c>
    </row>
    <row r="191" spans="1:24" x14ac:dyDescent="0.15">
      <c r="A191" s="25" t="s">
        <v>1036</v>
      </c>
      <c r="B191" s="25" t="s">
        <v>611</v>
      </c>
      <c r="C191" s="25" t="s">
        <v>612</v>
      </c>
      <c r="D191" s="25" t="s">
        <v>613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1466</f>
        <v>1466</v>
      </c>
      <c r="L191" s="32" t="s">
        <v>907</v>
      </c>
      <c r="M191" s="31">
        <f>1479</f>
        <v>1479</v>
      </c>
      <c r="N191" s="32" t="s">
        <v>907</v>
      </c>
      <c r="O191" s="31">
        <f>1329</f>
        <v>1329</v>
      </c>
      <c r="P191" s="32" t="s">
        <v>820</v>
      </c>
      <c r="Q191" s="31">
        <f>1341</f>
        <v>1341</v>
      </c>
      <c r="R191" s="32" t="s">
        <v>818</v>
      </c>
      <c r="S191" s="33">
        <f>1370.85</f>
        <v>1370.85</v>
      </c>
      <c r="T191" s="30">
        <f>2598225</f>
        <v>2598225</v>
      </c>
      <c r="U191" s="30">
        <f>874</f>
        <v>874</v>
      </c>
      <c r="V191" s="30">
        <f>3559152831</f>
        <v>3559152831</v>
      </c>
      <c r="W191" s="30">
        <f>1168449</f>
        <v>1168449</v>
      </c>
      <c r="X191" s="34">
        <f>20</f>
        <v>20</v>
      </c>
    </row>
    <row r="192" spans="1:24" x14ac:dyDescent="0.15">
      <c r="A192" s="25" t="s">
        <v>1036</v>
      </c>
      <c r="B192" s="25" t="s">
        <v>614</v>
      </c>
      <c r="C192" s="25" t="s">
        <v>615</v>
      </c>
      <c r="D192" s="25" t="s">
        <v>616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19430</f>
        <v>19430</v>
      </c>
      <c r="L192" s="32" t="s">
        <v>907</v>
      </c>
      <c r="M192" s="31">
        <f>25060</f>
        <v>25060</v>
      </c>
      <c r="N192" s="32" t="s">
        <v>818</v>
      </c>
      <c r="O192" s="31">
        <f>19265</f>
        <v>19265</v>
      </c>
      <c r="P192" s="32" t="s">
        <v>907</v>
      </c>
      <c r="Q192" s="31">
        <f>24985</f>
        <v>24985</v>
      </c>
      <c r="R192" s="32" t="s">
        <v>818</v>
      </c>
      <c r="S192" s="33">
        <f>21786.5</f>
        <v>21786.5</v>
      </c>
      <c r="T192" s="30">
        <f>327766</f>
        <v>327766</v>
      </c>
      <c r="U192" s="30">
        <f>2000</f>
        <v>2000</v>
      </c>
      <c r="V192" s="30">
        <f>7197219140</f>
        <v>7197219140</v>
      </c>
      <c r="W192" s="30">
        <f>45634000</f>
        <v>45634000</v>
      </c>
      <c r="X192" s="34">
        <f>20</f>
        <v>20</v>
      </c>
    </row>
    <row r="193" spans="1:24" x14ac:dyDescent="0.15">
      <c r="A193" s="25" t="s">
        <v>1036</v>
      </c>
      <c r="B193" s="25" t="s">
        <v>617</v>
      </c>
      <c r="C193" s="25" t="s">
        <v>618</v>
      </c>
      <c r="D193" s="25" t="s">
        <v>619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3430</f>
        <v>3430</v>
      </c>
      <c r="L193" s="32" t="s">
        <v>907</v>
      </c>
      <c r="M193" s="31">
        <f>3430</f>
        <v>3430</v>
      </c>
      <c r="N193" s="32" t="s">
        <v>907</v>
      </c>
      <c r="O193" s="31">
        <f>3000</f>
        <v>3000</v>
      </c>
      <c r="P193" s="32" t="s">
        <v>818</v>
      </c>
      <c r="Q193" s="31">
        <f>3010</f>
        <v>3010</v>
      </c>
      <c r="R193" s="32" t="s">
        <v>818</v>
      </c>
      <c r="S193" s="33">
        <f>3200</f>
        <v>3200</v>
      </c>
      <c r="T193" s="30">
        <f>1250159</f>
        <v>1250159</v>
      </c>
      <c r="U193" s="30" t="str">
        <f>"－"</f>
        <v>－</v>
      </c>
      <c r="V193" s="30">
        <f>4004126070</f>
        <v>4004126070</v>
      </c>
      <c r="W193" s="30" t="str">
        <f>"－"</f>
        <v>－</v>
      </c>
      <c r="X193" s="34">
        <f>20</f>
        <v>20</v>
      </c>
    </row>
    <row r="194" spans="1:24" x14ac:dyDescent="0.15">
      <c r="A194" s="25" t="s">
        <v>1036</v>
      </c>
      <c r="B194" s="25" t="s">
        <v>620</v>
      </c>
      <c r="C194" s="25" t="s">
        <v>621</v>
      </c>
      <c r="D194" s="25" t="s">
        <v>622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7353</f>
        <v>7353</v>
      </c>
      <c r="L194" s="32" t="s">
        <v>907</v>
      </c>
      <c r="M194" s="31">
        <f>8050</f>
        <v>8050</v>
      </c>
      <c r="N194" s="32" t="s">
        <v>818</v>
      </c>
      <c r="O194" s="31">
        <f>7283</f>
        <v>7283</v>
      </c>
      <c r="P194" s="32" t="s">
        <v>907</v>
      </c>
      <c r="Q194" s="31">
        <f>8050</f>
        <v>8050</v>
      </c>
      <c r="R194" s="32" t="s">
        <v>818</v>
      </c>
      <c r="S194" s="33">
        <f>7740.8</f>
        <v>7740.8</v>
      </c>
      <c r="T194" s="30">
        <f>38747</f>
        <v>38747</v>
      </c>
      <c r="U194" s="30">
        <f>7400</f>
        <v>7400</v>
      </c>
      <c r="V194" s="30">
        <f>304711668</f>
        <v>304711668</v>
      </c>
      <c r="W194" s="30">
        <f>59373600</f>
        <v>59373600</v>
      </c>
      <c r="X194" s="34">
        <f>20</f>
        <v>20</v>
      </c>
    </row>
    <row r="195" spans="1:24" x14ac:dyDescent="0.15">
      <c r="A195" s="25" t="s">
        <v>1036</v>
      </c>
      <c r="B195" s="25" t="s">
        <v>623</v>
      </c>
      <c r="C195" s="25" t="s">
        <v>624</v>
      </c>
      <c r="D195" s="25" t="s">
        <v>625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16100</f>
        <v>16100</v>
      </c>
      <c r="L195" s="32" t="s">
        <v>907</v>
      </c>
      <c r="M195" s="31">
        <f>16585</f>
        <v>16585</v>
      </c>
      <c r="N195" s="32" t="s">
        <v>94</v>
      </c>
      <c r="O195" s="31">
        <f>16000</f>
        <v>16000</v>
      </c>
      <c r="P195" s="32" t="s">
        <v>80</v>
      </c>
      <c r="Q195" s="31">
        <f>16505</f>
        <v>16505</v>
      </c>
      <c r="R195" s="32" t="s">
        <v>818</v>
      </c>
      <c r="S195" s="33">
        <f>16299.64</f>
        <v>16299.64</v>
      </c>
      <c r="T195" s="30">
        <f>108</f>
        <v>108</v>
      </c>
      <c r="U195" s="30" t="str">
        <f t="shared" ref="U195:U210" si="12">"－"</f>
        <v>－</v>
      </c>
      <c r="V195" s="30">
        <f>1760315</f>
        <v>1760315</v>
      </c>
      <c r="W195" s="30" t="str">
        <f t="shared" ref="W195:W210" si="13">"－"</f>
        <v>－</v>
      </c>
      <c r="X195" s="34">
        <f>14</f>
        <v>14</v>
      </c>
    </row>
    <row r="196" spans="1:24" x14ac:dyDescent="0.15">
      <c r="A196" s="25" t="s">
        <v>1036</v>
      </c>
      <c r="B196" s="25" t="s">
        <v>626</v>
      </c>
      <c r="C196" s="25" t="s">
        <v>627</v>
      </c>
      <c r="D196" s="25" t="s">
        <v>628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21785</f>
        <v>21785</v>
      </c>
      <c r="L196" s="32" t="s">
        <v>907</v>
      </c>
      <c r="M196" s="31">
        <f>24500</f>
        <v>24500</v>
      </c>
      <c r="N196" s="32" t="s">
        <v>818</v>
      </c>
      <c r="O196" s="31">
        <f>21650</f>
        <v>21650</v>
      </c>
      <c r="P196" s="32" t="s">
        <v>907</v>
      </c>
      <c r="Q196" s="31">
        <f>24475</f>
        <v>24475</v>
      </c>
      <c r="R196" s="32" t="s">
        <v>818</v>
      </c>
      <c r="S196" s="33">
        <f>23090.5</f>
        <v>23090.5</v>
      </c>
      <c r="T196" s="30">
        <f>35532</f>
        <v>35532</v>
      </c>
      <c r="U196" s="30" t="str">
        <f t="shared" si="12"/>
        <v>－</v>
      </c>
      <c r="V196" s="30">
        <f>827636965</f>
        <v>827636965</v>
      </c>
      <c r="W196" s="30" t="str">
        <f t="shared" si="13"/>
        <v>－</v>
      </c>
      <c r="X196" s="34">
        <f>20</f>
        <v>20</v>
      </c>
    </row>
    <row r="197" spans="1:24" x14ac:dyDescent="0.15">
      <c r="A197" s="25" t="s">
        <v>1036</v>
      </c>
      <c r="B197" s="25" t="s">
        <v>629</v>
      </c>
      <c r="C197" s="25" t="s">
        <v>630</v>
      </c>
      <c r="D197" s="25" t="s">
        <v>631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14775</f>
        <v>14775</v>
      </c>
      <c r="L197" s="32" t="s">
        <v>907</v>
      </c>
      <c r="M197" s="31">
        <f>15600</f>
        <v>15600</v>
      </c>
      <c r="N197" s="32" t="s">
        <v>80</v>
      </c>
      <c r="O197" s="31">
        <f>14100</f>
        <v>14100</v>
      </c>
      <c r="P197" s="32" t="s">
        <v>815</v>
      </c>
      <c r="Q197" s="31">
        <f>14900</f>
        <v>14900</v>
      </c>
      <c r="R197" s="32" t="s">
        <v>818</v>
      </c>
      <c r="S197" s="33">
        <f>14987.37</f>
        <v>14987.37</v>
      </c>
      <c r="T197" s="30">
        <f>4197</f>
        <v>4197</v>
      </c>
      <c r="U197" s="30" t="str">
        <f t="shared" si="12"/>
        <v>－</v>
      </c>
      <c r="V197" s="30">
        <f>61382425</f>
        <v>61382425</v>
      </c>
      <c r="W197" s="30" t="str">
        <f t="shared" si="13"/>
        <v>－</v>
      </c>
      <c r="X197" s="34">
        <f>19</f>
        <v>19</v>
      </c>
    </row>
    <row r="198" spans="1:24" x14ac:dyDescent="0.15">
      <c r="A198" s="25" t="s">
        <v>1036</v>
      </c>
      <c r="B198" s="25" t="s">
        <v>632</v>
      </c>
      <c r="C198" s="25" t="s">
        <v>633</v>
      </c>
      <c r="D198" s="25" t="s">
        <v>634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18710</f>
        <v>18710</v>
      </c>
      <c r="L198" s="32" t="s">
        <v>907</v>
      </c>
      <c r="M198" s="31">
        <f>20730</f>
        <v>20730</v>
      </c>
      <c r="N198" s="32" t="s">
        <v>818</v>
      </c>
      <c r="O198" s="31">
        <f>18040</f>
        <v>18040</v>
      </c>
      <c r="P198" s="32" t="s">
        <v>813</v>
      </c>
      <c r="Q198" s="31">
        <f>20595</f>
        <v>20595</v>
      </c>
      <c r="R198" s="32" t="s">
        <v>818</v>
      </c>
      <c r="S198" s="33">
        <f>19485.25</f>
        <v>19485.25</v>
      </c>
      <c r="T198" s="30">
        <f>22539</f>
        <v>22539</v>
      </c>
      <c r="U198" s="30" t="str">
        <f t="shared" si="12"/>
        <v>－</v>
      </c>
      <c r="V198" s="30">
        <f>443184455</f>
        <v>443184455</v>
      </c>
      <c r="W198" s="30" t="str">
        <f t="shared" si="13"/>
        <v>－</v>
      </c>
      <c r="X198" s="34">
        <f>20</f>
        <v>20</v>
      </c>
    </row>
    <row r="199" spans="1:24" x14ac:dyDescent="0.15">
      <c r="A199" s="25" t="s">
        <v>1036</v>
      </c>
      <c r="B199" s="25" t="s">
        <v>635</v>
      </c>
      <c r="C199" s="25" t="s">
        <v>636</v>
      </c>
      <c r="D199" s="25" t="s">
        <v>637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4805</f>
        <v>4805</v>
      </c>
      <c r="L199" s="32" t="s">
        <v>907</v>
      </c>
      <c r="M199" s="31">
        <f>4835</f>
        <v>4835</v>
      </c>
      <c r="N199" s="32" t="s">
        <v>56</v>
      </c>
      <c r="O199" s="31">
        <f>4400</f>
        <v>4400</v>
      </c>
      <c r="P199" s="32" t="s">
        <v>818</v>
      </c>
      <c r="Q199" s="31">
        <f>4525</f>
        <v>4525</v>
      </c>
      <c r="R199" s="32" t="s">
        <v>818</v>
      </c>
      <c r="S199" s="33">
        <f>4654.75</f>
        <v>4654.75</v>
      </c>
      <c r="T199" s="30">
        <f>11426</f>
        <v>11426</v>
      </c>
      <c r="U199" s="30" t="str">
        <f t="shared" si="12"/>
        <v>－</v>
      </c>
      <c r="V199" s="30">
        <f>53163090</f>
        <v>53163090</v>
      </c>
      <c r="W199" s="30" t="str">
        <f t="shared" si="13"/>
        <v>－</v>
      </c>
      <c r="X199" s="34">
        <f>20</f>
        <v>20</v>
      </c>
    </row>
    <row r="200" spans="1:24" x14ac:dyDescent="0.15">
      <c r="A200" s="25" t="s">
        <v>1036</v>
      </c>
      <c r="B200" s="25" t="s">
        <v>638</v>
      </c>
      <c r="C200" s="25" t="s">
        <v>639</v>
      </c>
      <c r="D200" s="25" t="s">
        <v>640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15730</f>
        <v>15730</v>
      </c>
      <c r="L200" s="32" t="s">
        <v>907</v>
      </c>
      <c r="M200" s="31">
        <f>16820</f>
        <v>16820</v>
      </c>
      <c r="N200" s="32" t="s">
        <v>87</v>
      </c>
      <c r="O200" s="31">
        <f>15455</f>
        <v>15455</v>
      </c>
      <c r="P200" s="32" t="s">
        <v>907</v>
      </c>
      <c r="Q200" s="31">
        <f>16330</f>
        <v>16330</v>
      </c>
      <c r="R200" s="32" t="s">
        <v>818</v>
      </c>
      <c r="S200" s="33">
        <f>16369.74</f>
        <v>16369.74</v>
      </c>
      <c r="T200" s="30">
        <f>3269</f>
        <v>3269</v>
      </c>
      <c r="U200" s="30" t="str">
        <f t="shared" si="12"/>
        <v>－</v>
      </c>
      <c r="V200" s="30">
        <f>52903400</f>
        <v>52903400</v>
      </c>
      <c r="W200" s="30" t="str">
        <f t="shared" si="13"/>
        <v>－</v>
      </c>
      <c r="X200" s="34">
        <f>19</f>
        <v>19</v>
      </c>
    </row>
    <row r="201" spans="1:24" x14ac:dyDescent="0.15">
      <c r="A201" s="25" t="s">
        <v>1036</v>
      </c>
      <c r="B201" s="25" t="s">
        <v>641</v>
      </c>
      <c r="C201" s="25" t="s">
        <v>642</v>
      </c>
      <c r="D201" s="25" t="s">
        <v>643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12880</f>
        <v>12880</v>
      </c>
      <c r="L201" s="32" t="s">
        <v>80</v>
      </c>
      <c r="M201" s="31">
        <f>12880</f>
        <v>12880</v>
      </c>
      <c r="N201" s="32" t="s">
        <v>80</v>
      </c>
      <c r="O201" s="31">
        <f>12880</f>
        <v>12880</v>
      </c>
      <c r="P201" s="32" t="s">
        <v>80</v>
      </c>
      <c r="Q201" s="31">
        <f>12880</f>
        <v>12880</v>
      </c>
      <c r="R201" s="32" t="s">
        <v>80</v>
      </c>
      <c r="S201" s="33">
        <f>12880</f>
        <v>12880</v>
      </c>
      <c r="T201" s="30">
        <f>60</f>
        <v>60</v>
      </c>
      <c r="U201" s="30" t="str">
        <f t="shared" si="12"/>
        <v>－</v>
      </c>
      <c r="V201" s="30">
        <f>772800</f>
        <v>772800</v>
      </c>
      <c r="W201" s="30" t="str">
        <f t="shared" si="13"/>
        <v>－</v>
      </c>
      <c r="X201" s="34">
        <f>1</f>
        <v>1</v>
      </c>
    </row>
    <row r="202" spans="1:24" x14ac:dyDescent="0.15">
      <c r="A202" s="25" t="s">
        <v>1036</v>
      </c>
      <c r="B202" s="25" t="s">
        <v>644</v>
      </c>
      <c r="C202" s="25" t="s">
        <v>645</v>
      </c>
      <c r="D202" s="25" t="s">
        <v>646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18470</f>
        <v>18470</v>
      </c>
      <c r="L202" s="32" t="s">
        <v>907</v>
      </c>
      <c r="M202" s="31">
        <f>19640</f>
        <v>19640</v>
      </c>
      <c r="N202" s="32" t="s">
        <v>87</v>
      </c>
      <c r="O202" s="31">
        <f>18450</f>
        <v>18450</v>
      </c>
      <c r="P202" s="32" t="s">
        <v>907</v>
      </c>
      <c r="Q202" s="31">
        <f>19250</f>
        <v>19250</v>
      </c>
      <c r="R202" s="32" t="s">
        <v>818</v>
      </c>
      <c r="S202" s="33">
        <f>19136</f>
        <v>19136</v>
      </c>
      <c r="T202" s="30">
        <f>765</f>
        <v>765</v>
      </c>
      <c r="U202" s="30" t="str">
        <f t="shared" si="12"/>
        <v>－</v>
      </c>
      <c r="V202" s="30">
        <f>14443420</f>
        <v>14443420</v>
      </c>
      <c r="W202" s="30" t="str">
        <f t="shared" si="13"/>
        <v>－</v>
      </c>
      <c r="X202" s="34">
        <f>15</f>
        <v>15</v>
      </c>
    </row>
    <row r="203" spans="1:24" x14ac:dyDescent="0.15">
      <c r="A203" s="25" t="s">
        <v>1036</v>
      </c>
      <c r="B203" s="25" t="s">
        <v>647</v>
      </c>
      <c r="C203" s="25" t="s">
        <v>648</v>
      </c>
      <c r="D203" s="25" t="s">
        <v>649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17870</f>
        <v>17870</v>
      </c>
      <c r="L203" s="32" t="s">
        <v>811</v>
      </c>
      <c r="M203" s="31">
        <f>17895</f>
        <v>17895</v>
      </c>
      <c r="N203" s="32" t="s">
        <v>266</v>
      </c>
      <c r="O203" s="31">
        <f>17690</f>
        <v>17690</v>
      </c>
      <c r="P203" s="32" t="s">
        <v>819</v>
      </c>
      <c r="Q203" s="31">
        <f>17895</f>
        <v>17895</v>
      </c>
      <c r="R203" s="32" t="s">
        <v>266</v>
      </c>
      <c r="S203" s="33">
        <f>17810</f>
        <v>17810</v>
      </c>
      <c r="T203" s="30">
        <f>6</f>
        <v>6</v>
      </c>
      <c r="U203" s="30" t="str">
        <f t="shared" si="12"/>
        <v>－</v>
      </c>
      <c r="V203" s="30">
        <f>106945</f>
        <v>106945</v>
      </c>
      <c r="W203" s="30" t="str">
        <f t="shared" si="13"/>
        <v>－</v>
      </c>
      <c r="X203" s="34">
        <f>5</f>
        <v>5</v>
      </c>
    </row>
    <row r="204" spans="1:24" x14ac:dyDescent="0.15">
      <c r="A204" s="25" t="s">
        <v>1036</v>
      </c>
      <c r="B204" s="25" t="s">
        <v>650</v>
      </c>
      <c r="C204" s="25" t="s">
        <v>651</v>
      </c>
      <c r="D204" s="25" t="s">
        <v>652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12860</f>
        <v>12860</v>
      </c>
      <c r="L204" s="32" t="s">
        <v>695</v>
      </c>
      <c r="M204" s="31">
        <f>12995</f>
        <v>12995</v>
      </c>
      <c r="N204" s="32" t="s">
        <v>812</v>
      </c>
      <c r="O204" s="31">
        <f>12765</f>
        <v>12765</v>
      </c>
      <c r="P204" s="32" t="s">
        <v>94</v>
      </c>
      <c r="Q204" s="31">
        <f>12860</f>
        <v>12860</v>
      </c>
      <c r="R204" s="32" t="s">
        <v>94</v>
      </c>
      <c r="S204" s="33">
        <f>12897.5</f>
        <v>12897.5</v>
      </c>
      <c r="T204" s="30">
        <f>228</f>
        <v>228</v>
      </c>
      <c r="U204" s="30" t="str">
        <f t="shared" si="12"/>
        <v>－</v>
      </c>
      <c r="V204" s="30">
        <f>2933790</f>
        <v>2933790</v>
      </c>
      <c r="W204" s="30" t="str">
        <f t="shared" si="13"/>
        <v>－</v>
      </c>
      <c r="X204" s="34">
        <f>4</f>
        <v>4</v>
      </c>
    </row>
    <row r="205" spans="1:24" x14ac:dyDescent="0.15">
      <c r="A205" s="25" t="s">
        <v>1036</v>
      </c>
      <c r="B205" s="25" t="s">
        <v>653</v>
      </c>
      <c r="C205" s="25" t="s">
        <v>654</v>
      </c>
      <c r="D205" s="25" t="s">
        <v>655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14435</f>
        <v>14435</v>
      </c>
      <c r="L205" s="32" t="s">
        <v>811</v>
      </c>
      <c r="M205" s="31">
        <f>14435</f>
        <v>14435</v>
      </c>
      <c r="N205" s="32" t="s">
        <v>811</v>
      </c>
      <c r="O205" s="31">
        <f>14435</f>
        <v>14435</v>
      </c>
      <c r="P205" s="32" t="s">
        <v>811</v>
      </c>
      <c r="Q205" s="31">
        <f>14435</f>
        <v>14435</v>
      </c>
      <c r="R205" s="32" t="s">
        <v>811</v>
      </c>
      <c r="S205" s="33">
        <f>14435</f>
        <v>14435</v>
      </c>
      <c r="T205" s="30">
        <f>1</f>
        <v>1</v>
      </c>
      <c r="U205" s="30" t="str">
        <f t="shared" si="12"/>
        <v>－</v>
      </c>
      <c r="V205" s="30">
        <f>14435</f>
        <v>14435</v>
      </c>
      <c r="W205" s="30" t="str">
        <f t="shared" si="13"/>
        <v>－</v>
      </c>
      <c r="X205" s="34">
        <f>1</f>
        <v>1</v>
      </c>
    </row>
    <row r="206" spans="1:24" x14ac:dyDescent="0.15">
      <c r="A206" s="25" t="s">
        <v>1036</v>
      </c>
      <c r="B206" s="25" t="s">
        <v>656</v>
      </c>
      <c r="C206" s="25" t="s">
        <v>657</v>
      </c>
      <c r="D206" s="25" t="s">
        <v>658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 t="str">
        <f>"－"</f>
        <v>－</v>
      </c>
      <c r="L206" s="32"/>
      <c r="M206" s="31" t="str">
        <f>"－"</f>
        <v>－</v>
      </c>
      <c r="N206" s="32"/>
      <c r="O206" s="31" t="str">
        <f>"－"</f>
        <v>－</v>
      </c>
      <c r="P206" s="32"/>
      <c r="Q206" s="31" t="str">
        <f>"－"</f>
        <v>－</v>
      </c>
      <c r="R206" s="32"/>
      <c r="S206" s="33" t="str">
        <f>"－"</f>
        <v>－</v>
      </c>
      <c r="T206" s="30" t="str">
        <f>"－"</f>
        <v>－</v>
      </c>
      <c r="U206" s="30" t="str">
        <f t="shared" si="12"/>
        <v>－</v>
      </c>
      <c r="V206" s="30" t="str">
        <f>"－"</f>
        <v>－</v>
      </c>
      <c r="W206" s="30" t="str">
        <f t="shared" si="13"/>
        <v>－</v>
      </c>
      <c r="X206" s="34" t="str">
        <f>"－"</f>
        <v>－</v>
      </c>
    </row>
    <row r="207" spans="1:24" x14ac:dyDescent="0.15">
      <c r="A207" s="25" t="s">
        <v>1036</v>
      </c>
      <c r="B207" s="25" t="s">
        <v>659</v>
      </c>
      <c r="C207" s="25" t="s">
        <v>660</v>
      </c>
      <c r="D207" s="25" t="s">
        <v>661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9617</f>
        <v>9617</v>
      </c>
      <c r="L207" s="32" t="s">
        <v>811</v>
      </c>
      <c r="M207" s="31">
        <f>9617</f>
        <v>9617</v>
      </c>
      <c r="N207" s="32" t="s">
        <v>811</v>
      </c>
      <c r="O207" s="31">
        <f>9438</f>
        <v>9438</v>
      </c>
      <c r="P207" s="32" t="s">
        <v>813</v>
      </c>
      <c r="Q207" s="31">
        <f>9531</f>
        <v>9531</v>
      </c>
      <c r="R207" s="32" t="s">
        <v>94</v>
      </c>
      <c r="S207" s="33">
        <f>9531.89</f>
        <v>9531.89</v>
      </c>
      <c r="T207" s="30">
        <f>5515</f>
        <v>5515</v>
      </c>
      <c r="U207" s="30" t="str">
        <f t="shared" si="12"/>
        <v>－</v>
      </c>
      <c r="V207" s="30">
        <f>52724791</f>
        <v>52724791</v>
      </c>
      <c r="W207" s="30" t="str">
        <f t="shared" si="13"/>
        <v>－</v>
      </c>
      <c r="X207" s="34">
        <f>9</f>
        <v>9</v>
      </c>
    </row>
    <row r="208" spans="1:24" x14ac:dyDescent="0.15">
      <c r="A208" s="25" t="s">
        <v>1036</v>
      </c>
      <c r="B208" s="25" t="s">
        <v>662</v>
      </c>
      <c r="C208" s="25" t="s">
        <v>663</v>
      </c>
      <c r="D208" s="25" t="s">
        <v>664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9503</f>
        <v>9503</v>
      </c>
      <c r="L208" s="32" t="s">
        <v>907</v>
      </c>
      <c r="M208" s="31">
        <f>10100</f>
        <v>10100</v>
      </c>
      <c r="N208" s="32" t="s">
        <v>812</v>
      </c>
      <c r="O208" s="31">
        <f>9503</f>
        <v>9503</v>
      </c>
      <c r="P208" s="32" t="s">
        <v>907</v>
      </c>
      <c r="Q208" s="31">
        <f>10035</f>
        <v>10035</v>
      </c>
      <c r="R208" s="32" t="s">
        <v>818</v>
      </c>
      <c r="S208" s="33">
        <f>9868.05</f>
        <v>9868.0499999999993</v>
      </c>
      <c r="T208" s="30">
        <f>22447</f>
        <v>22447</v>
      </c>
      <c r="U208" s="30" t="str">
        <f t="shared" si="12"/>
        <v>－</v>
      </c>
      <c r="V208" s="30">
        <f>223723543</f>
        <v>223723543</v>
      </c>
      <c r="W208" s="30" t="str">
        <f t="shared" si="13"/>
        <v>－</v>
      </c>
      <c r="X208" s="34">
        <f>19</f>
        <v>19</v>
      </c>
    </row>
    <row r="209" spans="1:24" x14ac:dyDescent="0.15">
      <c r="A209" s="25" t="s">
        <v>1036</v>
      </c>
      <c r="B209" s="25" t="s">
        <v>665</v>
      </c>
      <c r="C209" s="25" t="s">
        <v>666</v>
      </c>
      <c r="D209" s="25" t="s">
        <v>667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9348</f>
        <v>9348</v>
      </c>
      <c r="L209" s="32" t="s">
        <v>907</v>
      </c>
      <c r="M209" s="31">
        <f>9880</f>
        <v>9880</v>
      </c>
      <c r="N209" s="32" t="s">
        <v>80</v>
      </c>
      <c r="O209" s="31">
        <f>9348</f>
        <v>9348</v>
      </c>
      <c r="P209" s="32" t="s">
        <v>907</v>
      </c>
      <c r="Q209" s="31">
        <f>9607</f>
        <v>9607</v>
      </c>
      <c r="R209" s="32" t="s">
        <v>94</v>
      </c>
      <c r="S209" s="33">
        <f>9651.69</f>
        <v>9651.69</v>
      </c>
      <c r="T209" s="30">
        <f>4140</f>
        <v>4140</v>
      </c>
      <c r="U209" s="30" t="str">
        <f t="shared" si="12"/>
        <v>－</v>
      </c>
      <c r="V209" s="30">
        <f>40145590</f>
        <v>40145590</v>
      </c>
      <c r="W209" s="30" t="str">
        <f t="shared" si="13"/>
        <v>－</v>
      </c>
      <c r="X209" s="34">
        <f>13</f>
        <v>13</v>
      </c>
    </row>
    <row r="210" spans="1:24" x14ac:dyDescent="0.15">
      <c r="A210" s="25" t="s">
        <v>1036</v>
      </c>
      <c r="B210" s="25" t="s">
        <v>945</v>
      </c>
      <c r="C210" s="25" t="s">
        <v>946</v>
      </c>
      <c r="D210" s="25" t="s">
        <v>947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10045</f>
        <v>10045</v>
      </c>
      <c r="L210" s="32" t="s">
        <v>70</v>
      </c>
      <c r="M210" s="31">
        <f>10145</f>
        <v>10145</v>
      </c>
      <c r="N210" s="32" t="s">
        <v>94</v>
      </c>
      <c r="O210" s="31">
        <f>9895</f>
        <v>9895</v>
      </c>
      <c r="P210" s="32" t="s">
        <v>821</v>
      </c>
      <c r="Q210" s="31">
        <f>10145</f>
        <v>10145</v>
      </c>
      <c r="R210" s="32" t="s">
        <v>94</v>
      </c>
      <c r="S210" s="33">
        <f>10028.33</f>
        <v>10028.33</v>
      </c>
      <c r="T210" s="30">
        <f>2006</f>
        <v>2006</v>
      </c>
      <c r="U210" s="30" t="str">
        <f t="shared" si="12"/>
        <v>－</v>
      </c>
      <c r="V210" s="30">
        <f>19850570</f>
        <v>19850570</v>
      </c>
      <c r="W210" s="30" t="str">
        <f t="shared" si="13"/>
        <v>－</v>
      </c>
      <c r="X210" s="34">
        <f>3</f>
        <v>3</v>
      </c>
    </row>
    <row r="211" spans="1:24" x14ac:dyDescent="0.15">
      <c r="A211" s="25" t="s">
        <v>1036</v>
      </c>
      <c r="B211" s="25" t="s">
        <v>668</v>
      </c>
      <c r="C211" s="25" t="s">
        <v>669</v>
      </c>
      <c r="D211" s="25" t="s">
        <v>670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959</f>
        <v>959</v>
      </c>
      <c r="L211" s="32" t="s">
        <v>907</v>
      </c>
      <c r="M211" s="31">
        <f>964</f>
        <v>964</v>
      </c>
      <c r="N211" s="32" t="s">
        <v>695</v>
      </c>
      <c r="O211" s="31">
        <f>939</f>
        <v>939</v>
      </c>
      <c r="P211" s="32" t="s">
        <v>815</v>
      </c>
      <c r="Q211" s="31">
        <f>950.2</f>
        <v>950.2</v>
      </c>
      <c r="R211" s="32" t="s">
        <v>818</v>
      </c>
      <c r="S211" s="33">
        <f>949.66</f>
        <v>949.66</v>
      </c>
      <c r="T211" s="30">
        <f>4642980</f>
        <v>4642980</v>
      </c>
      <c r="U211" s="30">
        <f>2107800</f>
        <v>2107800</v>
      </c>
      <c r="V211" s="30">
        <f>4405657900</f>
        <v>4405657900</v>
      </c>
      <c r="W211" s="30">
        <f>1997396321</f>
        <v>1997396321</v>
      </c>
      <c r="X211" s="34">
        <f>20</f>
        <v>20</v>
      </c>
    </row>
    <row r="212" spans="1:24" x14ac:dyDescent="0.15">
      <c r="A212" s="25" t="s">
        <v>1036</v>
      </c>
      <c r="B212" s="25" t="s">
        <v>671</v>
      </c>
      <c r="C212" s="25" t="s">
        <v>672</v>
      </c>
      <c r="D212" s="25" t="s">
        <v>673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1000</f>
        <v>1000</v>
      </c>
      <c r="L212" s="32" t="s">
        <v>907</v>
      </c>
      <c r="M212" s="31">
        <f>1025.5</f>
        <v>1025.5</v>
      </c>
      <c r="N212" s="32" t="s">
        <v>818</v>
      </c>
      <c r="O212" s="31">
        <f>987.3</f>
        <v>987.3</v>
      </c>
      <c r="P212" s="32" t="s">
        <v>813</v>
      </c>
      <c r="Q212" s="31">
        <f>1022</f>
        <v>1022</v>
      </c>
      <c r="R212" s="32" t="s">
        <v>818</v>
      </c>
      <c r="S212" s="33">
        <f>1010.15</f>
        <v>1010.15</v>
      </c>
      <c r="T212" s="30">
        <f>5936680</f>
        <v>5936680</v>
      </c>
      <c r="U212" s="30">
        <f>4782790</f>
        <v>4782790</v>
      </c>
      <c r="V212" s="30">
        <f>6033278547</f>
        <v>6033278547</v>
      </c>
      <c r="W212" s="30">
        <f>4864336628</f>
        <v>4864336628</v>
      </c>
      <c r="X212" s="34">
        <f>20</f>
        <v>20</v>
      </c>
    </row>
    <row r="213" spans="1:24" x14ac:dyDescent="0.15">
      <c r="A213" s="25" t="s">
        <v>1036</v>
      </c>
      <c r="B213" s="25" t="s">
        <v>674</v>
      </c>
      <c r="C213" s="25" t="s">
        <v>675</v>
      </c>
      <c r="D213" s="25" t="s">
        <v>676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834.1</f>
        <v>834.1</v>
      </c>
      <c r="L213" s="32" t="s">
        <v>907</v>
      </c>
      <c r="M213" s="31">
        <f>850.6</f>
        <v>850.6</v>
      </c>
      <c r="N213" s="32" t="s">
        <v>811</v>
      </c>
      <c r="O213" s="31">
        <f>819.9</f>
        <v>819.9</v>
      </c>
      <c r="P213" s="32" t="s">
        <v>66</v>
      </c>
      <c r="Q213" s="31">
        <f>836.3</f>
        <v>836.3</v>
      </c>
      <c r="R213" s="32" t="s">
        <v>818</v>
      </c>
      <c r="S213" s="33">
        <f>832.78</f>
        <v>832.78</v>
      </c>
      <c r="T213" s="30">
        <f>6247750</f>
        <v>6247750</v>
      </c>
      <c r="U213" s="30">
        <f>5279690</f>
        <v>5279690</v>
      </c>
      <c r="V213" s="30">
        <f>5216036419</f>
        <v>5216036419</v>
      </c>
      <c r="W213" s="30">
        <f>4408743639</f>
        <v>4408743639</v>
      </c>
      <c r="X213" s="34">
        <f>20</f>
        <v>20</v>
      </c>
    </row>
    <row r="214" spans="1:24" x14ac:dyDescent="0.15">
      <c r="A214" s="25" t="s">
        <v>1036</v>
      </c>
      <c r="B214" s="25" t="s">
        <v>677</v>
      </c>
      <c r="C214" s="25" t="s">
        <v>678</v>
      </c>
      <c r="D214" s="25" t="s">
        <v>679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1566.5</f>
        <v>1566.5</v>
      </c>
      <c r="L214" s="32" t="s">
        <v>907</v>
      </c>
      <c r="M214" s="31">
        <f>1731</f>
        <v>1731</v>
      </c>
      <c r="N214" s="32" t="s">
        <v>818</v>
      </c>
      <c r="O214" s="31">
        <f>1555</f>
        <v>1555</v>
      </c>
      <c r="P214" s="32" t="s">
        <v>907</v>
      </c>
      <c r="Q214" s="31">
        <f>1727.5</f>
        <v>1727.5</v>
      </c>
      <c r="R214" s="32" t="s">
        <v>818</v>
      </c>
      <c r="S214" s="33">
        <f>1649</f>
        <v>1649</v>
      </c>
      <c r="T214" s="30">
        <f>2012220</f>
        <v>2012220</v>
      </c>
      <c r="U214" s="30">
        <f>1268140</f>
        <v>1268140</v>
      </c>
      <c r="V214" s="30">
        <f>3333679805</f>
        <v>3333679805</v>
      </c>
      <c r="W214" s="30">
        <f>2125787820</f>
        <v>2125787820</v>
      </c>
      <c r="X214" s="34">
        <f>20</f>
        <v>20</v>
      </c>
    </row>
    <row r="215" spans="1:24" x14ac:dyDescent="0.15">
      <c r="A215" s="25" t="s">
        <v>1036</v>
      </c>
      <c r="B215" s="25" t="s">
        <v>680</v>
      </c>
      <c r="C215" s="25" t="s">
        <v>681</v>
      </c>
      <c r="D215" s="25" t="s">
        <v>682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1200</f>
        <v>1200</v>
      </c>
      <c r="L215" s="32" t="s">
        <v>907</v>
      </c>
      <c r="M215" s="31">
        <f>1285.5</f>
        <v>1285.5</v>
      </c>
      <c r="N215" s="32" t="s">
        <v>818</v>
      </c>
      <c r="O215" s="31">
        <f>1182</f>
        <v>1182</v>
      </c>
      <c r="P215" s="32" t="s">
        <v>907</v>
      </c>
      <c r="Q215" s="31">
        <f>1283</f>
        <v>1283</v>
      </c>
      <c r="R215" s="32" t="s">
        <v>818</v>
      </c>
      <c r="S215" s="33">
        <f>1232</f>
        <v>1232</v>
      </c>
      <c r="T215" s="30">
        <f>442390</f>
        <v>442390</v>
      </c>
      <c r="U215" s="30">
        <f>257190</f>
        <v>257190</v>
      </c>
      <c r="V215" s="30">
        <f>551311446</f>
        <v>551311446</v>
      </c>
      <c r="W215" s="30">
        <f>323152036</f>
        <v>323152036</v>
      </c>
      <c r="X215" s="34">
        <f>20</f>
        <v>20</v>
      </c>
    </row>
    <row r="216" spans="1:24" x14ac:dyDescent="0.15">
      <c r="A216" s="25" t="s">
        <v>1036</v>
      </c>
      <c r="B216" s="25" t="s">
        <v>683</v>
      </c>
      <c r="C216" s="25" t="s">
        <v>684</v>
      </c>
      <c r="D216" s="25" t="s">
        <v>685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1136</f>
        <v>1136</v>
      </c>
      <c r="L216" s="32" t="s">
        <v>907</v>
      </c>
      <c r="M216" s="31">
        <f>1229.5</f>
        <v>1229.5</v>
      </c>
      <c r="N216" s="32" t="s">
        <v>818</v>
      </c>
      <c r="O216" s="31">
        <f>1109</f>
        <v>1109</v>
      </c>
      <c r="P216" s="32" t="s">
        <v>821</v>
      </c>
      <c r="Q216" s="31">
        <f>1226</f>
        <v>1226</v>
      </c>
      <c r="R216" s="32" t="s">
        <v>818</v>
      </c>
      <c r="S216" s="33">
        <f>1171.48</f>
        <v>1171.48</v>
      </c>
      <c r="T216" s="30">
        <f>558380</f>
        <v>558380</v>
      </c>
      <c r="U216" s="30">
        <f>202960</f>
        <v>202960</v>
      </c>
      <c r="V216" s="30">
        <f>656199013</f>
        <v>656199013</v>
      </c>
      <c r="W216" s="30">
        <f>244149123</f>
        <v>244149123</v>
      </c>
      <c r="X216" s="34">
        <f>20</f>
        <v>20</v>
      </c>
    </row>
    <row r="217" spans="1:24" x14ac:dyDescent="0.15">
      <c r="A217" s="25" t="s">
        <v>1036</v>
      </c>
      <c r="B217" s="25" t="s">
        <v>686</v>
      </c>
      <c r="C217" s="25" t="s">
        <v>687</v>
      </c>
      <c r="D217" s="25" t="s">
        <v>688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535</f>
        <v>535</v>
      </c>
      <c r="L217" s="32" t="s">
        <v>907</v>
      </c>
      <c r="M217" s="31">
        <f>583.3</f>
        <v>583.29999999999995</v>
      </c>
      <c r="N217" s="32" t="s">
        <v>818</v>
      </c>
      <c r="O217" s="31">
        <f>528.5</f>
        <v>528.5</v>
      </c>
      <c r="P217" s="32" t="s">
        <v>907</v>
      </c>
      <c r="Q217" s="31">
        <f>575.2</f>
        <v>575.20000000000005</v>
      </c>
      <c r="R217" s="32" t="s">
        <v>818</v>
      </c>
      <c r="S217" s="33">
        <f>561.54</f>
        <v>561.54</v>
      </c>
      <c r="T217" s="30">
        <f>27574710</f>
        <v>27574710</v>
      </c>
      <c r="U217" s="30">
        <f>387000</f>
        <v>387000</v>
      </c>
      <c r="V217" s="30">
        <f>15475940824</f>
        <v>15475940824</v>
      </c>
      <c r="W217" s="30">
        <f>215090194</f>
        <v>215090194</v>
      </c>
      <c r="X217" s="34">
        <f>20</f>
        <v>20</v>
      </c>
    </row>
    <row r="218" spans="1:24" x14ac:dyDescent="0.15">
      <c r="A218" s="25" t="s">
        <v>1036</v>
      </c>
      <c r="B218" s="25" t="s">
        <v>689</v>
      </c>
      <c r="C218" s="25" t="s">
        <v>690</v>
      </c>
      <c r="D218" s="25" t="s">
        <v>691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1164</f>
        <v>1164</v>
      </c>
      <c r="L218" s="32" t="s">
        <v>907</v>
      </c>
      <c r="M218" s="31">
        <f>1183</f>
        <v>1183</v>
      </c>
      <c r="N218" s="32" t="s">
        <v>818</v>
      </c>
      <c r="O218" s="31">
        <f>1107.5</f>
        <v>1107.5</v>
      </c>
      <c r="P218" s="32" t="s">
        <v>820</v>
      </c>
      <c r="Q218" s="31">
        <f>1176.5</f>
        <v>1176.5</v>
      </c>
      <c r="R218" s="32" t="s">
        <v>818</v>
      </c>
      <c r="S218" s="33">
        <f>1144.4</f>
        <v>1144.4000000000001</v>
      </c>
      <c r="T218" s="30">
        <f>547510</f>
        <v>547510</v>
      </c>
      <c r="U218" s="30">
        <f>116330</f>
        <v>116330</v>
      </c>
      <c r="V218" s="30">
        <f>616203085</f>
        <v>616203085</v>
      </c>
      <c r="W218" s="30">
        <f>132005890</f>
        <v>132005890</v>
      </c>
      <c r="X218" s="34">
        <f>20</f>
        <v>20</v>
      </c>
    </row>
    <row r="219" spans="1:24" x14ac:dyDescent="0.15">
      <c r="A219" s="25" t="s">
        <v>1036</v>
      </c>
      <c r="B219" s="25" t="s">
        <v>692</v>
      </c>
      <c r="C219" s="25" t="s">
        <v>693</v>
      </c>
      <c r="D219" s="25" t="s">
        <v>694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1032</f>
        <v>1032</v>
      </c>
      <c r="L219" s="32" t="s">
        <v>907</v>
      </c>
      <c r="M219" s="31">
        <f>1090</f>
        <v>1090</v>
      </c>
      <c r="N219" s="32" t="s">
        <v>80</v>
      </c>
      <c r="O219" s="31">
        <f>1024</f>
        <v>1024</v>
      </c>
      <c r="P219" s="32" t="s">
        <v>907</v>
      </c>
      <c r="Q219" s="31">
        <f>1066</f>
        <v>1066</v>
      </c>
      <c r="R219" s="32" t="s">
        <v>818</v>
      </c>
      <c r="S219" s="33">
        <f>1060.8</f>
        <v>1060.8</v>
      </c>
      <c r="T219" s="30">
        <f>66540</f>
        <v>66540</v>
      </c>
      <c r="U219" s="30">
        <f>37000</f>
        <v>37000</v>
      </c>
      <c r="V219" s="30">
        <f>70731013</f>
        <v>70731013</v>
      </c>
      <c r="W219" s="30">
        <f>39604800</f>
        <v>39604800</v>
      </c>
      <c r="X219" s="34">
        <f>20</f>
        <v>20</v>
      </c>
    </row>
    <row r="220" spans="1:24" x14ac:dyDescent="0.15">
      <c r="A220" s="25" t="s">
        <v>1036</v>
      </c>
      <c r="B220" s="25" t="s">
        <v>696</v>
      </c>
      <c r="C220" s="25" t="s">
        <v>697</v>
      </c>
      <c r="D220" s="25" t="s">
        <v>698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896.7</f>
        <v>896.7</v>
      </c>
      <c r="L220" s="32" t="s">
        <v>907</v>
      </c>
      <c r="M220" s="31">
        <f>915.6</f>
        <v>915.6</v>
      </c>
      <c r="N220" s="32" t="s">
        <v>818</v>
      </c>
      <c r="O220" s="31">
        <f>886</f>
        <v>886</v>
      </c>
      <c r="P220" s="32" t="s">
        <v>820</v>
      </c>
      <c r="Q220" s="31">
        <f>915</f>
        <v>915</v>
      </c>
      <c r="R220" s="32" t="s">
        <v>818</v>
      </c>
      <c r="S220" s="33">
        <f>900.22</f>
        <v>900.22</v>
      </c>
      <c r="T220" s="30">
        <f>149390</f>
        <v>149390</v>
      </c>
      <c r="U220" s="30" t="str">
        <f>"－"</f>
        <v>－</v>
      </c>
      <c r="V220" s="30">
        <f>133573745</f>
        <v>133573745</v>
      </c>
      <c r="W220" s="30" t="str">
        <f>"－"</f>
        <v>－</v>
      </c>
      <c r="X220" s="34">
        <f>20</f>
        <v>20</v>
      </c>
    </row>
    <row r="221" spans="1:24" x14ac:dyDescent="0.15">
      <c r="A221" s="25" t="s">
        <v>1036</v>
      </c>
      <c r="B221" s="25" t="s">
        <v>699</v>
      </c>
      <c r="C221" s="25" t="s">
        <v>700</v>
      </c>
      <c r="D221" s="25" t="s">
        <v>701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1100.5</f>
        <v>1100.5</v>
      </c>
      <c r="L221" s="32" t="s">
        <v>907</v>
      </c>
      <c r="M221" s="31">
        <f>1153.5</f>
        <v>1153.5</v>
      </c>
      <c r="N221" s="32" t="s">
        <v>80</v>
      </c>
      <c r="O221" s="31">
        <f>1078</f>
        <v>1078</v>
      </c>
      <c r="P221" s="32" t="s">
        <v>94</v>
      </c>
      <c r="Q221" s="31">
        <f>1088.5</f>
        <v>1088.5</v>
      </c>
      <c r="R221" s="32" t="s">
        <v>818</v>
      </c>
      <c r="S221" s="33">
        <f>1112.2</f>
        <v>1112.2</v>
      </c>
      <c r="T221" s="30">
        <f>249940</f>
        <v>249940</v>
      </c>
      <c r="U221" s="30" t="str">
        <f>"－"</f>
        <v>－</v>
      </c>
      <c r="V221" s="30">
        <f>275054780</f>
        <v>275054780</v>
      </c>
      <c r="W221" s="30" t="str">
        <f>"－"</f>
        <v>－</v>
      </c>
      <c r="X221" s="34">
        <f>20</f>
        <v>20</v>
      </c>
    </row>
    <row r="222" spans="1:24" x14ac:dyDescent="0.15">
      <c r="A222" s="25" t="s">
        <v>1036</v>
      </c>
      <c r="B222" s="25" t="s">
        <v>702</v>
      </c>
      <c r="C222" s="25" t="s">
        <v>703</v>
      </c>
      <c r="D222" s="25" t="s">
        <v>704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1220.5</f>
        <v>1220.5</v>
      </c>
      <c r="L222" s="32" t="s">
        <v>907</v>
      </c>
      <c r="M222" s="31">
        <f>1331.5</f>
        <v>1331.5</v>
      </c>
      <c r="N222" s="32" t="s">
        <v>818</v>
      </c>
      <c r="O222" s="31">
        <f>1216</f>
        <v>1216</v>
      </c>
      <c r="P222" s="32" t="s">
        <v>907</v>
      </c>
      <c r="Q222" s="31">
        <f>1329.5</f>
        <v>1329.5</v>
      </c>
      <c r="R222" s="32" t="s">
        <v>818</v>
      </c>
      <c r="S222" s="33">
        <f>1270.78</f>
        <v>1270.78</v>
      </c>
      <c r="T222" s="30">
        <f>16830410</f>
        <v>16830410</v>
      </c>
      <c r="U222" s="30">
        <f>7148500</f>
        <v>7148500</v>
      </c>
      <c r="V222" s="30">
        <f>21522445431</f>
        <v>21522445431</v>
      </c>
      <c r="W222" s="30">
        <f>9160739011</f>
        <v>9160739011</v>
      </c>
      <c r="X222" s="34">
        <f>20</f>
        <v>20</v>
      </c>
    </row>
    <row r="223" spans="1:24" x14ac:dyDescent="0.15">
      <c r="A223" s="25" t="s">
        <v>1036</v>
      </c>
      <c r="B223" s="25" t="s">
        <v>705</v>
      </c>
      <c r="C223" s="25" t="s">
        <v>706</v>
      </c>
      <c r="D223" s="25" t="s">
        <v>707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3220</f>
        <v>3220</v>
      </c>
      <c r="L223" s="32" t="s">
        <v>907</v>
      </c>
      <c r="M223" s="31">
        <f>3555</f>
        <v>3555</v>
      </c>
      <c r="N223" s="32" t="s">
        <v>818</v>
      </c>
      <c r="O223" s="31">
        <f>3180</f>
        <v>3180</v>
      </c>
      <c r="P223" s="32" t="s">
        <v>56</v>
      </c>
      <c r="Q223" s="31">
        <f>3540</f>
        <v>3540</v>
      </c>
      <c r="R223" s="32" t="s">
        <v>818</v>
      </c>
      <c r="S223" s="33">
        <f>3361.25</f>
        <v>3361.25</v>
      </c>
      <c r="T223" s="30">
        <f>334781</f>
        <v>334781</v>
      </c>
      <c r="U223" s="30">
        <f>150000</f>
        <v>150000</v>
      </c>
      <c r="V223" s="30">
        <f>1146014380</f>
        <v>1146014380</v>
      </c>
      <c r="W223" s="30">
        <f>516026550</f>
        <v>516026550</v>
      </c>
      <c r="X223" s="34">
        <f>20</f>
        <v>20</v>
      </c>
    </row>
    <row r="224" spans="1:24" x14ac:dyDescent="0.15">
      <c r="A224" s="25" t="s">
        <v>1036</v>
      </c>
      <c r="B224" s="25" t="s">
        <v>708</v>
      </c>
      <c r="C224" s="25" t="s">
        <v>709</v>
      </c>
      <c r="D224" s="25" t="s">
        <v>710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1540</f>
        <v>1540</v>
      </c>
      <c r="L224" s="32" t="s">
        <v>907</v>
      </c>
      <c r="M224" s="31">
        <f>1627.5</f>
        <v>1627.5</v>
      </c>
      <c r="N224" s="32" t="s">
        <v>818</v>
      </c>
      <c r="O224" s="31">
        <f>1540</f>
        <v>1540</v>
      </c>
      <c r="P224" s="32" t="s">
        <v>907</v>
      </c>
      <c r="Q224" s="31">
        <f>1627.5</f>
        <v>1627.5</v>
      </c>
      <c r="R224" s="32" t="s">
        <v>818</v>
      </c>
      <c r="S224" s="33">
        <f>1593.63</f>
        <v>1593.63</v>
      </c>
      <c r="T224" s="30">
        <f>1470</f>
        <v>1470</v>
      </c>
      <c r="U224" s="30" t="str">
        <f>"－"</f>
        <v>－</v>
      </c>
      <c r="V224" s="30">
        <f>2339775</f>
        <v>2339775</v>
      </c>
      <c r="W224" s="30" t="str">
        <f>"－"</f>
        <v>－</v>
      </c>
      <c r="X224" s="34">
        <f>16</f>
        <v>16</v>
      </c>
    </row>
    <row r="225" spans="1:24" x14ac:dyDescent="0.15">
      <c r="A225" s="25" t="s">
        <v>1036</v>
      </c>
      <c r="B225" s="25" t="s">
        <v>711</v>
      </c>
      <c r="C225" s="25" t="s">
        <v>712</v>
      </c>
      <c r="D225" s="25" t="s">
        <v>713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1873.5</f>
        <v>1873.5</v>
      </c>
      <c r="L225" s="32" t="s">
        <v>907</v>
      </c>
      <c r="M225" s="31">
        <f>1978.5</f>
        <v>1978.5</v>
      </c>
      <c r="N225" s="32" t="s">
        <v>80</v>
      </c>
      <c r="O225" s="31">
        <f>1866</f>
        <v>1866</v>
      </c>
      <c r="P225" s="32" t="s">
        <v>907</v>
      </c>
      <c r="Q225" s="31">
        <f>1955</f>
        <v>1955</v>
      </c>
      <c r="R225" s="32" t="s">
        <v>266</v>
      </c>
      <c r="S225" s="33">
        <f>1946.2</f>
        <v>1946.2</v>
      </c>
      <c r="T225" s="30">
        <f>975460</f>
        <v>975460</v>
      </c>
      <c r="U225" s="30">
        <f>873000</f>
        <v>873000</v>
      </c>
      <c r="V225" s="30">
        <f>1881777105</f>
        <v>1881777105</v>
      </c>
      <c r="W225" s="30">
        <f>1687410300</f>
        <v>1687410300</v>
      </c>
      <c r="X225" s="34">
        <f>10</f>
        <v>10</v>
      </c>
    </row>
    <row r="226" spans="1:24" x14ac:dyDescent="0.15">
      <c r="A226" s="25" t="s">
        <v>1036</v>
      </c>
      <c r="B226" s="25" t="s">
        <v>714</v>
      </c>
      <c r="C226" s="25" t="s">
        <v>715</v>
      </c>
      <c r="D226" s="25" t="s">
        <v>716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26165</f>
        <v>26165</v>
      </c>
      <c r="L226" s="32" t="s">
        <v>907</v>
      </c>
      <c r="M226" s="31">
        <f>27950</f>
        <v>27950</v>
      </c>
      <c r="N226" s="32" t="s">
        <v>818</v>
      </c>
      <c r="O226" s="31">
        <f>26100</f>
        <v>26100</v>
      </c>
      <c r="P226" s="32" t="s">
        <v>907</v>
      </c>
      <c r="Q226" s="31">
        <f>27950</f>
        <v>27950</v>
      </c>
      <c r="R226" s="32" t="s">
        <v>818</v>
      </c>
      <c r="S226" s="33">
        <f>27511.33</f>
        <v>27511.33</v>
      </c>
      <c r="T226" s="30">
        <f>1658</f>
        <v>1658</v>
      </c>
      <c r="U226" s="30" t="str">
        <f>"－"</f>
        <v>－</v>
      </c>
      <c r="V226" s="30">
        <f>45425295</f>
        <v>45425295</v>
      </c>
      <c r="W226" s="30" t="str">
        <f>"－"</f>
        <v>－</v>
      </c>
      <c r="X226" s="34">
        <f>15</f>
        <v>15</v>
      </c>
    </row>
    <row r="227" spans="1:24" x14ac:dyDescent="0.15">
      <c r="A227" s="25" t="s">
        <v>1036</v>
      </c>
      <c r="B227" s="25" t="s">
        <v>717</v>
      </c>
      <c r="C227" s="25" t="s">
        <v>718</v>
      </c>
      <c r="D227" s="25" t="s">
        <v>719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16840</f>
        <v>16840</v>
      </c>
      <c r="L227" s="32" t="s">
        <v>907</v>
      </c>
      <c r="M227" s="31">
        <f>17715</f>
        <v>17715</v>
      </c>
      <c r="N227" s="32" t="s">
        <v>80</v>
      </c>
      <c r="O227" s="31">
        <f>16840</f>
        <v>16840</v>
      </c>
      <c r="P227" s="32" t="s">
        <v>907</v>
      </c>
      <c r="Q227" s="31">
        <f>17320</f>
        <v>17320</v>
      </c>
      <c r="R227" s="32" t="s">
        <v>87</v>
      </c>
      <c r="S227" s="33">
        <f>17373.75</f>
        <v>17373.75</v>
      </c>
      <c r="T227" s="30">
        <f>651</f>
        <v>651</v>
      </c>
      <c r="U227" s="30" t="str">
        <f>"－"</f>
        <v>－</v>
      </c>
      <c r="V227" s="30">
        <f>11196680</f>
        <v>11196680</v>
      </c>
      <c r="W227" s="30" t="str">
        <f>"－"</f>
        <v>－</v>
      </c>
      <c r="X227" s="34">
        <f>8</f>
        <v>8</v>
      </c>
    </row>
    <row r="228" spans="1:24" x14ac:dyDescent="0.15">
      <c r="A228" s="25" t="s">
        <v>1036</v>
      </c>
      <c r="B228" s="25" t="s">
        <v>720</v>
      </c>
      <c r="C228" s="25" t="s">
        <v>721</v>
      </c>
      <c r="D228" s="25" t="s">
        <v>722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1167.5</f>
        <v>1167.5</v>
      </c>
      <c r="L228" s="32" t="s">
        <v>907</v>
      </c>
      <c r="M228" s="31">
        <f>1183</f>
        <v>1183</v>
      </c>
      <c r="N228" s="32" t="s">
        <v>818</v>
      </c>
      <c r="O228" s="31">
        <f>1117.5</f>
        <v>1117.5</v>
      </c>
      <c r="P228" s="32" t="s">
        <v>66</v>
      </c>
      <c r="Q228" s="31">
        <f>1178.5</f>
        <v>1178.5</v>
      </c>
      <c r="R228" s="32" t="s">
        <v>818</v>
      </c>
      <c r="S228" s="33">
        <f>1147.89</f>
        <v>1147.8900000000001</v>
      </c>
      <c r="T228" s="30">
        <f>866070</f>
        <v>866070</v>
      </c>
      <c r="U228" s="30">
        <f>479000</f>
        <v>479000</v>
      </c>
      <c r="V228" s="30">
        <f>978929890</f>
        <v>978929890</v>
      </c>
      <c r="W228" s="30">
        <f>541634800</f>
        <v>541634800</v>
      </c>
      <c r="X228" s="34">
        <f>9</f>
        <v>9</v>
      </c>
    </row>
    <row r="229" spans="1:24" x14ac:dyDescent="0.15">
      <c r="A229" s="25" t="s">
        <v>1036</v>
      </c>
      <c r="B229" s="25" t="s">
        <v>723</v>
      </c>
      <c r="C229" s="25" t="s">
        <v>724</v>
      </c>
      <c r="D229" s="25" t="s">
        <v>725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1150.5</f>
        <v>1150.5</v>
      </c>
      <c r="L229" s="32" t="s">
        <v>907</v>
      </c>
      <c r="M229" s="31">
        <f>1174</f>
        <v>1174</v>
      </c>
      <c r="N229" s="32" t="s">
        <v>818</v>
      </c>
      <c r="O229" s="31">
        <f>1100</f>
        <v>1100</v>
      </c>
      <c r="P229" s="32" t="s">
        <v>815</v>
      </c>
      <c r="Q229" s="31">
        <f>1171</f>
        <v>1171</v>
      </c>
      <c r="R229" s="32" t="s">
        <v>818</v>
      </c>
      <c r="S229" s="33">
        <f>1136.1</f>
        <v>1136.0999999999999</v>
      </c>
      <c r="T229" s="30">
        <f>192270</f>
        <v>192270</v>
      </c>
      <c r="U229" s="30">
        <f>77600</f>
        <v>77600</v>
      </c>
      <c r="V229" s="30">
        <f>215397840</f>
        <v>215397840</v>
      </c>
      <c r="W229" s="30">
        <f>85732480</f>
        <v>85732480</v>
      </c>
      <c r="X229" s="34">
        <f>20</f>
        <v>20</v>
      </c>
    </row>
    <row r="230" spans="1:24" x14ac:dyDescent="0.15">
      <c r="A230" s="25" t="s">
        <v>1036</v>
      </c>
      <c r="B230" s="25" t="s">
        <v>726</v>
      </c>
      <c r="C230" s="25" t="s">
        <v>727</v>
      </c>
      <c r="D230" s="25" t="s">
        <v>728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1190</f>
        <v>1190</v>
      </c>
      <c r="L230" s="32" t="s">
        <v>907</v>
      </c>
      <c r="M230" s="31">
        <f>1233</f>
        <v>1233</v>
      </c>
      <c r="N230" s="32" t="s">
        <v>810</v>
      </c>
      <c r="O230" s="31">
        <f>1180</f>
        <v>1180</v>
      </c>
      <c r="P230" s="32" t="s">
        <v>907</v>
      </c>
      <c r="Q230" s="31">
        <f>1210</f>
        <v>1210</v>
      </c>
      <c r="R230" s="32" t="s">
        <v>818</v>
      </c>
      <c r="S230" s="33">
        <f>1205.3</f>
        <v>1205.3</v>
      </c>
      <c r="T230" s="30">
        <f>82492</f>
        <v>82492</v>
      </c>
      <c r="U230" s="30">
        <f>15</f>
        <v>15</v>
      </c>
      <c r="V230" s="30">
        <f>99022715</f>
        <v>99022715</v>
      </c>
      <c r="W230" s="30">
        <f>19140</f>
        <v>19140</v>
      </c>
      <c r="X230" s="34">
        <f>20</f>
        <v>20</v>
      </c>
    </row>
    <row r="231" spans="1:24" x14ac:dyDescent="0.15">
      <c r="A231" s="25" t="s">
        <v>1036</v>
      </c>
      <c r="B231" s="25" t="s">
        <v>729</v>
      </c>
      <c r="C231" s="25" t="s">
        <v>730</v>
      </c>
      <c r="D231" s="25" t="s">
        <v>731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13315</f>
        <v>13315</v>
      </c>
      <c r="L231" s="32" t="s">
        <v>907</v>
      </c>
      <c r="M231" s="31">
        <f>13805</f>
        <v>13805</v>
      </c>
      <c r="N231" s="32" t="s">
        <v>80</v>
      </c>
      <c r="O231" s="31">
        <f>12120</f>
        <v>12120</v>
      </c>
      <c r="P231" s="32" t="s">
        <v>818</v>
      </c>
      <c r="Q231" s="31">
        <f>12560</f>
        <v>12560</v>
      </c>
      <c r="R231" s="32" t="s">
        <v>818</v>
      </c>
      <c r="S231" s="33">
        <f>13104.5</f>
        <v>13104.5</v>
      </c>
      <c r="T231" s="30">
        <f>3407</f>
        <v>3407</v>
      </c>
      <c r="U231" s="30" t="str">
        <f>"－"</f>
        <v>－</v>
      </c>
      <c r="V231" s="30">
        <f>44462325</f>
        <v>44462325</v>
      </c>
      <c r="W231" s="30" t="str">
        <f>"－"</f>
        <v>－</v>
      </c>
      <c r="X231" s="34">
        <f>20</f>
        <v>20</v>
      </c>
    </row>
    <row r="232" spans="1:24" x14ac:dyDescent="0.15">
      <c r="A232" s="25" t="s">
        <v>1036</v>
      </c>
      <c r="B232" s="25" t="s">
        <v>732</v>
      </c>
      <c r="C232" s="25" t="s">
        <v>733</v>
      </c>
      <c r="D232" s="25" t="s">
        <v>734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2105</f>
        <v>2105</v>
      </c>
      <c r="L232" s="32" t="s">
        <v>907</v>
      </c>
      <c r="M232" s="31">
        <f>2141</f>
        <v>2141</v>
      </c>
      <c r="N232" s="32" t="s">
        <v>80</v>
      </c>
      <c r="O232" s="31">
        <f>1976</f>
        <v>1976</v>
      </c>
      <c r="P232" s="32" t="s">
        <v>820</v>
      </c>
      <c r="Q232" s="31">
        <f>2105</f>
        <v>2105</v>
      </c>
      <c r="R232" s="32" t="s">
        <v>818</v>
      </c>
      <c r="S232" s="33">
        <f>2051.55</f>
        <v>2051.5500000000002</v>
      </c>
      <c r="T232" s="30">
        <f>227220</f>
        <v>227220</v>
      </c>
      <c r="U232" s="30">
        <f>212800</f>
        <v>212800</v>
      </c>
      <c r="V232" s="30">
        <f>480065097</f>
        <v>480065097</v>
      </c>
      <c r="W232" s="30">
        <f>450644640</f>
        <v>450644640</v>
      </c>
      <c r="X232" s="34">
        <f>20</f>
        <v>20</v>
      </c>
    </row>
    <row r="233" spans="1:24" x14ac:dyDescent="0.15">
      <c r="A233" s="25" t="s">
        <v>1036</v>
      </c>
      <c r="B233" s="25" t="s">
        <v>735</v>
      </c>
      <c r="C233" s="25" t="s">
        <v>736</v>
      </c>
      <c r="D233" s="25" t="s">
        <v>737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1540.5</f>
        <v>1540.5</v>
      </c>
      <c r="L233" s="32" t="s">
        <v>907</v>
      </c>
      <c r="M233" s="31">
        <f>1684</f>
        <v>1684</v>
      </c>
      <c r="N233" s="32" t="s">
        <v>814</v>
      </c>
      <c r="O233" s="31">
        <f>1540.5</f>
        <v>1540.5</v>
      </c>
      <c r="P233" s="32" t="s">
        <v>907</v>
      </c>
      <c r="Q233" s="31">
        <f>1584.5</f>
        <v>1584.5</v>
      </c>
      <c r="R233" s="32" t="s">
        <v>818</v>
      </c>
      <c r="S233" s="33">
        <f>1621.82</f>
        <v>1621.82</v>
      </c>
      <c r="T233" s="30">
        <f>1500</f>
        <v>1500</v>
      </c>
      <c r="U233" s="30" t="str">
        <f>"－"</f>
        <v>－</v>
      </c>
      <c r="V233" s="30">
        <f>2429835</f>
        <v>2429835</v>
      </c>
      <c r="W233" s="30" t="str">
        <f>"－"</f>
        <v>－</v>
      </c>
      <c r="X233" s="34">
        <f>17</f>
        <v>17</v>
      </c>
    </row>
    <row r="234" spans="1:24" x14ac:dyDescent="0.15">
      <c r="A234" s="25" t="s">
        <v>1036</v>
      </c>
      <c r="B234" s="25" t="s">
        <v>738</v>
      </c>
      <c r="C234" s="25" t="s">
        <v>822</v>
      </c>
      <c r="D234" s="25" t="s">
        <v>823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840</f>
        <v>840</v>
      </c>
      <c r="L234" s="32" t="s">
        <v>907</v>
      </c>
      <c r="M234" s="31">
        <f>852.5</f>
        <v>852.5</v>
      </c>
      <c r="N234" s="32" t="s">
        <v>811</v>
      </c>
      <c r="O234" s="31">
        <f>824</f>
        <v>824</v>
      </c>
      <c r="P234" s="32" t="s">
        <v>66</v>
      </c>
      <c r="Q234" s="31">
        <f>835.9</f>
        <v>835.9</v>
      </c>
      <c r="R234" s="32" t="s">
        <v>818</v>
      </c>
      <c r="S234" s="33">
        <f>836.3</f>
        <v>836.3</v>
      </c>
      <c r="T234" s="30">
        <f>753220</f>
        <v>753220</v>
      </c>
      <c r="U234" s="30">
        <f>715990</f>
        <v>715990</v>
      </c>
      <c r="V234" s="30">
        <f>628066948</f>
        <v>628066948</v>
      </c>
      <c r="W234" s="30">
        <f>596934961</f>
        <v>596934961</v>
      </c>
      <c r="X234" s="34">
        <f>20</f>
        <v>20</v>
      </c>
    </row>
    <row r="235" spans="1:24" x14ac:dyDescent="0.15">
      <c r="A235" s="25" t="s">
        <v>1036</v>
      </c>
      <c r="B235" s="25" t="s">
        <v>739</v>
      </c>
      <c r="C235" s="25" t="s">
        <v>740</v>
      </c>
      <c r="D235" s="25" t="s">
        <v>741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2030</f>
        <v>2030</v>
      </c>
      <c r="L235" s="32" t="s">
        <v>907</v>
      </c>
      <c r="M235" s="31">
        <f>2047</f>
        <v>2047</v>
      </c>
      <c r="N235" s="32" t="s">
        <v>810</v>
      </c>
      <c r="O235" s="31">
        <f>1894.5</f>
        <v>1894.5</v>
      </c>
      <c r="P235" s="32" t="s">
        <v>815</v>
      </c>
      <c r="Q235" s="31">
        <f>2014</f>
        <v>2014</v>
      </c>
      <c r="R235" s="32" t="s">
        <v>818</v>
      </c>
      <c r="S235" s="33">
        <f>1964.75</f>
        <v>1964.75</v>
      </c>
      <c r="T235" s="30">
        <f>64670</f>
        <v>64670</v>
      </c>
      <c r="U235" s="30">
        <f>15040</f>
        <v>15040</v>
      </c>
      <c r="V235" s="30">
        <f>126314565</f>
        <v>126314565</v>
      </c>
      <c r="W235" s="30">
        <f>28829675</f>
        <v>28829675</v>
      </c>
      <c r="X235" s="34">
        <f>20</f>
        <v>20</v>
      </c>
    </row>
    <row r="236" spans="1:24" x14ac:dyDescent="0.15">
      <c r="A236" s="25" t="s">
        <v>1036</v>
      </c>
      <c r="B236" s="25" t="s">
        <v>742</v>
      </c>
      <c r="C236" s="25" t="s">
        <v>743</v>
      </c>
      <c r="D236" s="25" t="s">
        <v>744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2038.5</f>
        <v>2038.5</v>
      </c>
      <c r="L236" s="32" t="s">
        <v>907</v>
      </c>
      <c r="M236" s="31">
        <f>2054.5</f>
        <v>2054.5</v>
      </c>
      <c r="N236" s="32" t="s">
        <v>810</v>
      </c>
      <c r="O236" s="31">
        <f>1888</f>
        <v>1888</v>
      </c>
      <c r="P236" s="32" t="s">
        <v>815</v>
      </c>
      <c r="Q236" s="31">
        <f>2014.5</f>
        <v>2014.5</v>
      </c>
      <c r="R236" s="32" t="s">
        <v>818</v>
      </c>
      <c r="S236" s="33">
        <f>1961.6</f>
        <v>1961.6</v>
      </c>
      <c r="T236" s="30">
        <f>684060</f>
        <v>684060</v>
      </c>
      <c r="U236" s="30">
        <f>382680</f>
        <v>382680</v>
      </c>
      <c r="V236" s="30">
        <f>1340837552</f>
        <v>1340837552</v>
      </c>
      <c r="W236" s="30">
        <f>755435607</f>
        <v>755435607</v>
      </c>
      <c r="X236" s="34">
        <f>20</f>
        <v>20</v>
      </c>
    </row>
    <row r="237" spans="1:24" x14ac:dyDescent="0.15">
      <c r="A237" s="25" t="s">
        <v>1036</v>
      </c>
      <c r="B237" s="25" t="s">
        <v>745</v>
      </c>
      <c r="C237" s="25" t="s">
        <v>746</v>
      </c>
      <c r="D237" s="25" t="s">
        <v>747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1860.5</f>
        <v>1860.5</v>
      </c>
      <c r="L237" s="32" t="s">
        <v>907</v>
      </c>
      <c r="M237" s="31">
        <f>1959</f>
        <v>1959</v>
      </c>
      <c r="N237" s="32" t="s">
        <v>810</v>
      </c>
      <c r="O237" s="31">
        <f>1853.5</f>
        <v>1853.5</v>
      </c>
      <c r="P237" s="32" t="s">
        <v>907</v>
      </c>
      <c r="Q237" s="31">
        <f>1939</f>
        <v>1939</v>
      </c>
      <c r="R237" s="32" t="s">
        <v>818</v>
      </c>
      <c r="S237" s="33">
        <f>1916.88</f>
        <v>1916.88</v>
      </c>
      <c r="T237" s="30">
        <f>24570</f>
        <v>24570</v>
      </c>
      <c r="U237" s="30">
        <f>15840</f>
        <v>15840</v>
      </c>
      <c r="V237" s="30">
        <f>46904696</f>
        <v>46904696</v>
      </c>
      <c r="W237" s="30">
        <f>29959581</f>
        <v>29959581</v>
      </c>
      <c r="X237" s="34">
        <f>13</f>
        <v>13</v>
      </c>
    </row>
    <row r="238" spans="1:24" x14ac:dyDescent="0.15">
      <c r="A238" s="25" t="s">
        <v>1036</v>
      </c>
      <c r="B238" s="25" t="s">
        <v>748</v>
      </c>
      <c r="C238" s="25" t="s">
        <v>749</v>
      </c>
      <c r="D238" s="25" t="s">
        <v>750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14920</f>
        <v>14920</v>
      </c>
      <c r="L238" s="32" t="s">
        <v>907</v>
      </c>
      <c r="M238" s="31">
        <f>16620</f>
        <v>16620</v>
      </c>
      <c r="N238" s="32" t="s">
        <v>818</v>
      </c>
      <c r="O238" s="31">
        <f>14845</f>
        <v>14845</v>
      </c>
      <c r="P238" s="32" t="s">
        <v>907</v>
      </c>
      <c r="Q238" s="31">
        <f>16595</f>
        <v>16595</v>
      </c>
      <c r="R238" s="32" t="s">
        <v>818</v>
      </c>
      <c r="S238" s="33">
        <f>15775.5</f>
        <v>15775.5</v>
      </c>
      <c r="T238" s="30">
        <f>1531007</f>
        <v>1531007</v>
      </c>
      <c r="U238" s="30">
        <f>12999</f>
        <v>12999</v>
      </c>
      <c r="V238" s="30">
        <f>24126916053</f>
        <v>24126916053</v>
      </c>
      <c r="W238" s="30">
        <f>199827188</f>
        <v>199827188</v>
      </c>
      <c r="X238" s="34">
        <f>20</f>
        <v>20</v>
      </c>
    </row>
    <row r="239" spans="1:24" x14ac:dyDescent="0.15">
      <c r="A239" s="25" t="s">
        <v>1036</v>
      </c>
      <c r="B239" s="25" t="s">
        <v>751</v>
      </c>
      <c r="C239" s="25" t="s">
        <v>752</v>
      </c>
      <c r="D239" s="25" t="s">
        <v>753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13500</f>
        <v>13500</v>
      </c>
      <c r="L239" s="32" t="s">
        <v>907</v>
      </c>
      <c r="M239" s="31">
        <f>14395</f>
        <v>14395</v>
      </c>
      <c r="N239" s="32" t="s">
        <v>818</v>
      </c>
      <c r="O239" s="31">
        <f>13330</f>
        <v>13330</v>
      </c>
      <c r="P239" s="32" t="s">
        <v>907</v>
      </c>
      <c r="Q239" s="31">
        <f>14345</f>
        <v>14345</v>
      </c>
      <c r="R239" s="32" t="s">
        <v>818</v>
      </c>
      <c r="S239" s="33">
        <f>13973.75</f>
        <v>13973.75</v>
      </c>
      <c r="T239" s="30">
        <f>147806</f>
        <v>147806</v>
      </c>
      <c r="U239" s="30" t="str">
        <f>"－"</f>
        <v>－</v>
      </c>
      <c r="V239" s="30">
        <f>2053694625</f>
        <v>2053694625</v>
      </c>
      <c r="W239" s="30" t="str">
        <f>"－"</f>
        <v>－</v>
      </c>
      <c r="X239" s="34">
        <f>20</f>
        <v>20</v>
      </c>
    </row>
    <row r="240" spans="1:24" x14ac:dyDescent="0.15">
      <c r="A240" s="25" t="s">
        <v>1036</v>
      </c>
      <c r="B240" s="25" t="s">
        <v>754</v>
      </c>
      <c r="C240" s="25" t="s">
        <v>755</v>
      </c>
      <c r="D240" s="25" t="s">
        <v>756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25500</f>
        <v>25500</v>
      </c>
      <c r="L240" s="32" t="s">
        <v>814</v>
      </c>
      <c r="M240" s="31">
        <f>25885</f>
        <v>25885</v>
      </c>
      <c r="N240" s="32" t="s">
        <v>812</v>
      </c>
      <c r="O240" s="31">
        <f>25405</f>
        <v>25405</v>
      </c>
      <c r="P240" s="32" t="s">
        <v>814</v>
      </c>
      <c r="Q240" s="31">
        <f>25655</f>
        <v>25655</v>
      </c>
      <c r="R240" s="32" t="s">
        <v>266</v>
      </c>
      <c r="S240" s="33">
        <f>25576</f>
        <v>25576</v>
      </c>
      <c r="T240" s="30">
        <f>32</f>
        <v>32</v>
      </c>
      <c r="U240" s="30" t="str">
        <f>"－"</f>
        <v>－</v>
      </c>
      <c r="V240" s="30">
        <f>818215</f>
        <v>818215</v>
      </c>
      <c r="W240" s="30" t="str">
        <f>"－"</f>
        <v>－</v>
      </c>
      <c r="X240" s="34">
        <f>5</f>
        <v>5</v>
      </c>
    </row>
    <row r="241" spans="1:24" x14ac:dyDescent="0.15">
      <c r="A241" s="25" t="s">
        <v>1036</v>
      </c>
      <c r="B241" s="25" t="s">
        <v>757</v>
      </c>
      <c r="C241" s="25" t="s">
        <v>758</v>
      </c>
      <c r="D241" s="25" t="s">
        <v>759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2567</f>
        <v>2567</v>
      </c>
      <c r="L241" s="32" t="s">
        <v>907</v>
      </c>
      <c r="M241" s="31">
        <f>2568</f>
        <v>2568</v>
      </c>
      <c r="N241" s="32" t="s">
        <v>811</v>
      </c>
      <c r="O241" s="31">
        <f>2475</f>
        <v>2475</v>
      </c>
      <c r="P241" s="32" t="s">
        <v>815</v>
      </c>
      <c r="Q241" s="31">
        <f>2533</f>
        <v>2533</v>
      </c>
      <c r="R241" s="32" t="s">
        <v>818</v>
      </c>
      <c r="S241" s="33">
        <f>2526.95</f>
        <v>2526.9499999999998</v>
      </c>
      <c r="T241" s="30">
        <f>206109</f>
        <v>206109</v>
      </c>
      <c r="U241" s="30">
        <f>24932</f>
        <v>24932</v>
      </c>
      <c r="V241" s="30">
        <f>522835095</f>
        <v>522835095</v>
      </c>
      <c r="W241" s="30">
        <f>63344089</f>
        <v>63344089</v>
      </c>
      <c r="X241" s="34">
        <f>20</f>
        <v>20</v>
      </c>
    </row>
    <row r="242" spans="1:24" x14ac:dyDescent="0.15">
      <c r="A242" s="25" t="s">
        <v>1036</v>
      </c>
      <c r="B242" s="25" t="s">
        <v>760</v>
      </c>
      <c r="C242" s="25" t="s">
        <v>761</v>
      </c>
      <c r="D242" s="25" t="s">
        <v>762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2429.5</f>
        <v>2429.5</v>
      </c>
      <c r="L242" s="32" t="s">
        <v>907</v>
      </c>
      <c r="M242" s="31">
        <f>2784.5</f>
        <v>2784.5</v>
      </c>
      <c r="N242" s="32" t="s">
        <v>818</v>
      </c>
      <c r="O242" s="31">
        <f>2419.5</f>
        <v>2419.5</v>
      </c>
      <c r="P242" s="32" t="s">
        <v>907</v>
      </c>
      <c r="Q242" s="31">
        <f>2780</f>
        <v>2780</v>
      </c>
      <c r="R242" s="32" t="s">
        <v>818</v>
      </c>
      <c r="S242" s="33">
        <f>2580.85</f>
        <v>2580.85</v>
      </c>
      <c r="T242" s="30">
        <f>3537820</f>
        <v>3537820</v>
      </c>
      <c r="U242" s="30">
        <f>2524310</f>
        <v>2524310</v>
      </c>
      <c r="V242" s="30">
        <f>9248749124</f>
        <v>9248749124</v>
      </c>
      <c r="W242" s="30">
        <f>6621533884</f>
        <v>6621533884</v>
      </c>
      <c r="X242" s="34">
        <f>20</f>
        <v>20</v>
      </c>
    </row>
    <row r="243" spans="1:24" x14ac:dyDescent="0.15">
      <c r="A243" s="25" t="s">
        <v>1036</v>
      </c>
      <c r="B243" s="25" t="s">
        <v>763</v>
      </c>
      <c r="C243" s="25" t="s">
        <v>764</v>
      </c>
      <c r="D243" s="25" t="s">
        <v>765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227</f>
        <v>227</v>
      </c>
      <c r="L243" s="32" t="s">
        <v>907</v>
      </c>
      <c r="M243" s="31">
        <f>246.9</f>
        <v>246.9</v>
      </c>
      <c r="N243" s="32" t="s">
        <v>818</v>
      </c>
      <c r="O243" s="31">
        <f>225.5</f>
        <v>225.5</v>
      </c>
      <c r="P243" s="32" t="s">
        <v>907</v>
      </c>
      <c r="Q243" s="31">
        <f>246.6</f>
        <v>246.6</v>
      </c>
      <c r="R243" s="32" t="s">
        <v>818</v>
      </c>
      <c r="S243" s="33">
        <f>235.75</f>
        <v>235.75</v>
      </c>
      <c r="T243" s="30">
        <f>111194030</f>
        <v>111194030</v>
      </c>
      <c r="U243" s="30">
        <f>14341670</f>
        <v>14341670</v>
      </c>
      <c r="V243" s="30">
        <f>26222593958</f>
        <v>26222593958</v>
      </c>
      <c r="W243" s="30">
        <f>3398830806</f>
        <v>3398830806</v>
      </c>
      <c r="X243" s="34">
        <f>20</f>
        <v>20</v>
      </c>
    </row>
    <row r="244" spans="1:24" x14ac:dyDescent="0.15">
      <c r="A244" s="25" t="s">
        <v>1036</v>
      </c>
      <c r="B244" s="25" t="s">
        <v>766</v>
      </c>
      <c r="C244" s="25" t="s">
        <v>767</v>
      </c>
      <c r="D244" s="25" t="s">
        <v>768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1939</f>
        <v>1939</v>
      </c>
      <c r="L244" s="32" t="s">
        <v>907</v>
      </c>
      <c r="M244" s="31">
        <f>2024</f>
        <v>2024</v>
      </c>
      <c r="N244" s="32" t="s">
        <v>810</v>
      </c>
      <c r="O244" s="31">
        <f>1919</f>
        <v>1919</v>
      </c>
      <c r="P244" s="32" t="s">
        <v>94</v>
      </c>
      <c r="Q244" s="31">
        <f>1950</f>
        <v>1950</v>
      </c>
      <c r="R244" s="32" t="s">
        <v>818</v>
      </c>
      <c r="S244" s="33">
        <f>1971.1</f>
        <v>1971.1</v>
      </c>
      <c r="T244" s="30">
        <f>428156</f>
        <v>428156</v>
      </c>
      <c r="U244" s="30">
        <f>255017</f>
        <v>255017</v>
      </c>
      <c r="V244" s="30">
        <f>850984477</f>
        <v>850984477</v>
      </c>
      <c r="W244" s="30">
        <f>508708962</f>
        <v>508708962</v>
      </c>
      <c r="X244" s="34">
        <f>20</f>
        <v>20</v>
      </c>
    </row>
    <row r="245" spans="1:24" x14ac:dyDescent="0.15">
      <c r="A245" s="25" t="s">
        <v>1036</v>
      </c>
      <c r="B245" s="25" t="s">
        <v>769</v>
      </c>
      <c r="C245" s="25" t="s">
        <v>770</v>
      </c>
      <c r="D245" s="25" t="s">
        <v>771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1066</f>
        <v>1066</v>
      </c>
      <c r="L245" s="32" t="s">
        <v>907</v>
      </c>
      <c r="M245" s="31">
        <f>1093</f>
        <v>1093</v>
      </c>
      <c r="N245" s="32" t="s">
        <v>811</v>
      </c>
      <c r="O245" s="31">
        <f>974</f>
        <v>974</v>
      </c>
      <c r="P245" s="32" t="s">
        <v>66</v>
      </c>
      <c r="Q245" s="31">
        <f>1037</f>
        <v>1037</v>
      </c>
      <c r="R245" s="32" t="s">
        <v>818</v>
      </c>
      <c r="S245" s="33">
        <f>1026</f>
        <v>1026</v>
      </c>
      <c r="T245" s="30">
        <f>352922</f>
        <v>352922</v>
      </c>
      <c r="U245" s="30">
        <f>28148</f>
        <v>28148</v>
      </c>
      <c r="V245" s="30">
        <f>360462899</f>
        <v>360462899</v>
      </c>
      <c r="W245" s="30">
        <f>29977951</f>
        <v>29977951</v>
      </c>
      <c r="X245" s="34">
        <f>20</f>
        <v>20</v>
      </c>
    </row>
    <row r="246" spans="1:24" x14ac:dyDescent="0.15">
      <c r="A246" s="25" t="s">
        <v>1036</v>
      </c>
      <c r="B246" s="25" t="s">
        <v>772</v>
      </c>
      <c r="C246" s="25" t="s">
        <v>773</v>
      </c>
      <c r="D246" s="25" t="s">
        <v>774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1105.5</f>
        <v>1105.5</v>
      </c>
      <c r="L246" s="32" t="s">
        <v>907</v>
      </c>
      <c r="M246" s="31">
        <f>1125</f>
        <v>1125</v>
      </c>
      <c r="N246" s="32" t="s">
        <v>810</v>
      </c>
      <c r="O246" s="31">
        <f>1040.5</f>
        <v>1040.5</v>
      </c>
      <c r="P246" s="32" t="s">
        <v>815</v>
      </c>
      <c r="Q246" s="31">
        <f>1114</f>
        <v>1114</v>
      </c>
      <c r="R246" s="32" t="s">
        <v>818</v>
      </c>
      <c r="S246" s="33">
        <f>1080.35</f>
        <v>1080.3499999999999</v>
      </c>
      <c r="T246" s="30">
        <f>797100</f>
        <v>797100</v>
      </c>
      <c r="U246" s="30">
        <f>730700</f>
        <v>730700</v>
      </c>
      <c r="V246" s="30">
        <f>856220695</f>
        <v>856220695</v>
      </c>
      <c r="W246" s="30">
        <f>783194800</f>
        <v>783194800</v>
      </c>
      <c r="X246" s="34">
        <f>20</f>
        <v>20</v>
      </c>
    </row>
    <row r="247" spans="1:24" x14ac:dyDescent="0.15">
      <c r="A247" s="25" t="s">
        <v>1036</v>
      </c>
      <c r="B247" s="25" t="s">
        <v>775</v>
      </c>
      <c r="C247" s="25" t="s">
        <v>776</v>
      </c>
      <c r="D247" s="25" t="s">
        <v>777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239.4</f>
        <v>239.4</v>
      </c>
      <c r="L247" s="32" t="s">
        <v>907</v>
      </c>
      <c r="M247" s="31">
        <f>245.1</f>
        <v>245.1</v>
      </c>
      <c r="N247" s="32" t="s">
        <v>812</v>
      </c>
      <c r="O247" s="31">
        <f>233</f>
        <v>233</v>
      </c>
      <c r="P247" s="32" t="s">
        <v>907</v>
      </c>
      <c r="Q247" s="31">
        <f>243.5</f>
        <v>243.5</v>
      </c>
      <c r="R247" s="32" t="s">
        <v>818</v>
      </c>
      <c r="S247" s="33">
        <f>240.43</f>
        <v>240.43</v>
      </c>
      <c r="T247" s="30">
        <f>6180</f>
        <v>6180</v>
      </c>
      <c r="U247" s="30" t="str">
        <f>"－"</f>
        <v>－</v>
      </c>
      <c r="V247" s="30">
        <f>1478240</f>
        <v>1478240</v>
      </c>
      <c r="W247" s="30" t="str">
        <f>"－"</f>
        <v>－</v>
      </c>
      <c r="X247" s="34">
        <f>19</f>
        <v>19</v>
      </c>
    </row>
    <row r="248" spans="1:24" x14ac:dyDescent="0.15">
      <c r="A248" s="25" t="s">
        <v>1036</v>
      </c>
      <c r="B248" s="25" t="s">
        <v>778</v>
      </c>
      <c r="C248" s="25" t="s">
        <v>779</v>
      </c>
      <c r="D248" s="25" t="s">
        <v>780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2712.5</f>
        <v>2712.5</v>
      </c>
      <c r="L248" s="32" t="s">
        <v>907</v>
      </c>
      <c r="M248" s="31">
        <f>2940</f>
        <v>2940</v>
      </c>
      <c r="N248" s="32" t="s">
        <v>818</v>
      </c>
      <c r="O248" s="31">
        <f>2703.5</f>
        <v>2703.5</v>
      </c>
      <c r="P248" s="32" t="s">
        <v>907</v>
      </c>
      <c r="Q248" s="31">
        <f>2932.5</f>
        <v>2932.5</v>
      </c>
      <c r="R248" s="32" t="s">
        <v>818</v>
      </c>
      <c r="S248" s="33">
        <f>2840.48</f>
        <v>2840.48</v>
      </c>
      <c r="T248" s="30">
        <f>2152950</f>
        <v>2152950</v>
      </c>
      <c r="U248" s="30" t="str">
        <f>"－"</f>
        <v>－</v>
      </c>
      <c r="V248" s="30">
        <f>6066699875</f>
        <v>6066699875</v>
      </c>
      <c r="W248" s="30" t="str">
        <f>"－"</f>
        <v>－</v>
      </c>
      <c r="X248" s="34">
        <f>20</f>
        <v>20</v>
      </c>
    </row>
    <row r="249" spans="1:24" x14ac:dyDescent="0.15">
      <c r="A249" s="25" t="s">
        <v>1036</v>
      </c>
      <c r="B249" s="25" t="s">
        <v>781</v>
      </c>
      <c r="C249" s="25" t="s">
        <v>782</v>
      </c>
      <c r="D249" s="25" t="s">
        <v>783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1897.5</f>
        <v>1897.5</v>
      </c>
      <c r="L249" s="32" t="s">
        <v>907</v>
      </c>
      <c r="M249" s="31">
        <f>2037.5</f>
        <v>2037.5</v>
      </c>
      <c r="N249" s="32" t="s">
        <v>80</v>
      </c>
      <c r="O249" s="31">
        <f>1869</f>
        <v>1869</v>
      </c>
      <c r="P249" s="32" t="s">
        <v>819</v>
      </c>
      <c r="Q249" s="31">
        <f>2008</f>
        <v>2008</v>
      </c>
      <c r="R249" s="32" t="s">
        <v>818</v>
      </c>
      <c r="S249" s="33">
        <f>1955.5</f>
        <v>1955.5</v>
      </c>
      <c r="T249" s="30">
        <f>8015640</f>
        <v>8015640</v>
      </c>
      <c r="U249" s="30">
        <f>1577000</f>
        <v>1577000</v>
      </c>
      <c r="V249" s="30">
        <f>15609103872</f>
        <v>15609103872</v>
      </c>
      <c r="W249" s="30">
        <f>3074076482</f>
        <v>3074076482</v>
      </c>
      <c r="X249" s="34">
        <f>20</f>
        <v>20</v>
      </c>
    </row>
    <row r="250" spans="1:24" x14ac:dyDescent="0.15">
      <c r="A250" s="25" t="s">
        <v>1036</v>
      </c>
      <c r="B250" s="25" t="s">
        <v>784</v>
      </c>
      <c r="C250" s="25" t="s">
        <v>785</v>
      </c>
      <c r="D250" s="25" t="s">
        <v>786</v>
      </c>
      <c r="E250" s="26" t="s">
        <v>913</v>
      </c>
      <c r="F250" s="27" t="s">
        <v>914</v>
      </c>
      <c r="G250" s="28" t="s">
        <v>45</v>
      </c>
      <c r="H250" s="29"/>
      <c r="I250" s="29" t="s">
        <v>46</v>
      </c>
      <c r="J250" s="30">
        <v>10</v>
      </c>
      <c r="K250" s="31">
        <f>3210</f>
        <v>3210</v>
      </c>
      <c r="L250" s="32" t="s">
        <v>907</v>
      </c>
      <c r="M250" s="31">
        <f>3225</f>
        <v>3225</v>
      </c>
      <c r="N250" s="32" t="s">
        <v>811</v>
      </c>
      <c r="O250" s="31">
        <f>3185</f>
        <v>3185</v>
      </c>
      <c r="P250" s="32" t="s">
        <v>810</v>
      </c>
      <c r="Q250" s="31">
        <f>3210</f>
        <v>3210</v>
      </c>
      <c r="R250" s="32" t="s">
        <v>80</v>
      </c>
      <c r="S250" s="33">
        <f>3212.5</f>
        <v>3212.5</v>
      </c>
      <c r="T250" s="30">
        <f>156527</f>
        <v>156527</v>
      </c>
      <c r="U250" s="30">
        <f>76230</f>
        <v>76230</v>
      </c>
      <c r="V250" s="30">
        <f>501804853</f>
        <v>501804853</v>
      </c>
      <c r="W250" s="30">
        <f>244368498</f>
        <v>244368498</v>
      </c>
      <c r="X250" s="34">
        <f>4</f>
        <v>4</v>
      </c>
    </row>
    <row r="251" spans="1:24" x14ac:dyDescent="0.15">
      <c r="A251" s="25" t="s">
        <v>1036</v>
      </c>
      <c r="B251" s="25" t="s">
        <v>784</v>
      </c>
      <c r="C251" s="25" t="s">
        <v>785</v>
      </c>
      <c r="D251" s="25" t="s">
        <v>786</v>
      </c>
      <c r="E251" s="26" t="s">
        <v>913</v>
      </c>
      <c r="F251" s="27" t="s">
        <v>914</v>
      </c>
      <c r="G251" s="28" t="s">
        <v>45</v>
      </c>
      <c r="H251" s="29"/>
      <c r="I251" s="29" t="s">
        <v>46</v>
      </c>
      <c r="J251" s="30">
        <v>10</v>
      </c>
      <c r="K251" s="31">
        <f>322</f>
        <v>322</v>
      </c>
      <c r="L251" s="32" t="s">
        <v>70</v>
      </c>
      <c r="M251" s="31">
        <f>331.9</f>
        <v>331.9</v>
      </c>
      <c r="N251" s="32" t="s">
        <v>695</v>
      </c>
      <c r="O251" s="31">
        <f>319.4</f>
        <v>319.39999999999998</v>
      </c>
      <c r="P251" s="32" t="s">
        <v>70</v>
      </c>
      <c r="Q251" s="31">
        <f>325.7</f>
        <v>325.7</v>
      </c>
      <c r="R251" s="32" t="s">
        <v>818</v>
      </c>
      <c r="S251" s="33">
        <f>325.45</f>
        <v>325.45</v>
      </c>
      <c r="T251" s="30">
        <f>134705360</f>
        <v>134705360</v>
      </c>
      <c r="U251" s="30">
        <f>130308240</f>
        <v>130308240</v>
      </c>
      <c r="V251" s="30">
        <f>44002245943</f>
        <v>44002245943</v>
      </c>
      <c r="W251" s="30">
        <f>42568635931</f>
        <v>42568635931</v>
      </c>
      <c r="X251" s="34">
        <f>16</f>
        <v>16</v>
      </c>
    </row>
    <row r="252" spans="1:24" x14ac:dyDescent="0.15">
      <c r="A252" s="25" t="s">
        <v>1036</v>
      </c>
      <c r="B252" s="25" t="s">
        <v>787</v>
      </c>
      <c r="C252" s="25" t="s">
        <v>788</v>
      </c>
      <c r="D252" s="25" t="s">
        <v>789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1517</f>
        <v>1517</v>
      </c>
      <c r="L252" s="32" t="s">
        <v>907</v>
      </c>
      <c r="M252" s="31">
        <f>1550</f>
        <v>1550</v>
      </c>
      <c r="N252" s="32" t="s">
        <v>811</v>
      </c>
      <c r="O252" s="31">
        <f>1353</f>
        <v>1353</v>
      </c>
      <c r="P252" s="32" t="s">
        <v>815</v>
      </c>
      <c r="Q252" s="31">
        <f>1410</f>
        <v>1410</v>
      </c>
      <c r="R252" s="32" t="s">
        <v>818</v>
      </c>
      <c r="S252" s="33">
        <f>1445.65</f>
        <v>1445.65</v>
      </c>
      <c r="T252" s="30">
        <f>2794692</f>
        <v>2794692</v>
      </c>
      <c r="U252" s="30" t="str">
        <f>"－"</f>
        <v>－</v>
      </c>
      <c r="V252" s="30">
        <f>4005583339</f>
        <v>4005583339</v>
      </c>
      <c r="W252" s="30" t="str">
        <f>"－"</f>
        <v>－</v>
      </c>
      <c r="X252" s="34">
        <f>20</f>
        <v>20</v>
      </c>
    </row>
    <row r="253" spans="1:24" x14ac:dyDescent="0.15">
      <c r="A253" s="25" t="s">
        <v>1036</v>
      </c>
      <c r="B253" s="25" t="s">
        <v>790</v>
      </c>
      <c r="C253" s="25" t="s">
        <v>791</v>
      </c>
      <c r="D253" s="25" t="s">
        <v>792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1789</f>
        <v>1789</v>
      </c>
      <c r="L253" s="32" t="s">
        <v>907</v>
      </c>
      <c r="M253" s="31">
        <f>1901</f>
        <v>1901</v>
      </c>
      <c r="N253" s="32" t="s">
        <v>80</v>
      </c>
      <c r="O253" s="31">
        <f>1670</f>
        <v>1670</v>
      </c>
      <c r="P253" s="32" t="s">
        <v>66</v>
      </c>
      <c r="Q253" s="31">
        <f>1728</f>
        <v>1728</v>
      </c>
      <c r="R253" s="32" t="s">
        <v>818</v>
      </c>
      <c r="S253" s="33">
        <f>1731.15</f>
        <v>1731.15</v>
      </c>
      <c r="T253" s="30">
        <f>41460</f>
        <v>41460</v>
      </c>
      <c r="U253" s="30" t="str">
        <f>"－"</f>
        <v>－</v>
      </c>
      <c r="V253" s="30">
        <f>71455915</f>
        <v>71455915</v>
      </c>
      <c r="W253" s="30" t="str">
        <f>"－"</f>
        <v>－</v>
      </c>
      <c r="X253" s="34">
        <f>20</f>
        <v>20</v>
      </c>
    </row>
    <row r="254" spans="1:24" x14ac:dyDescent="0.15">
      <c r="A254" s="25" t="s">
        <v>1036</v>
      </c>
      <c r="B254" s="25" t="s">
        <v>793</v>
      </c>
      <c r="C254" s="25" t="s">
        <v>794</v>
      </c>
      <c r="D254" s="25" t="s">
        <v>795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2104</f>
        <v>2104</v>
      </c>
      <c r="L254" s="32" t="s">
        <v>907</v>
      </c>
      <c r="M254" s="31">
        <f>2137</f>
        <v>2137</v>
      </c>
      <c r="N254" s="32" t="s">
        <v>818</v>
      </c>
      <c r="O254" s="31">
        <f>2068</f>
        <v>2068</v>
      </c>
      <c r="P254" s="32" t="s">
        <v>66</v>
      </c>
      <c r="Q254" s="31">
        <f>2101</f>
        <v>2101</v>
      </c>
      <c r="R254" s="32" t="s">
        <v>818</v>
      </c>
      <c r="S254" s="33">
        <f>2089.83</f>
        <v>2089.83</v>
      </c>
      <c r="T254" s="30">
        <f>9248</f>
        <v>9248</v>
      </c>
      <c r="U254" s="30" t="str">
        <f>"－"</f>
        <v>－</v>
      </c>
      <c r="V254" s="30">
        <f>19360299</f>
        <v>19360299</v>
      </c>
      <c r="W254" s="30" t="str">
        <f>"－"</f>
        <v>－</v>
      </c>
      <c r="X254" s="34">
        <f>12</f>
        <v>12</v>
      </c>
    </row>
    <row r="255" spans="1:24" x14ac:dyDescent="0.15">
      <c r="A255" s="25" t="s">
        <v>1036</v>
      </c>
      <c r="B255" s="25" t="s">
        <v>796</v>
      </c>
      <c r="C255" s="25" t="s">
        <v>797</v>
      </c>
      <c r="D255" s="25" t="s">
        <v>798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2606</f>
        <v>2606</v>
      </c>
      <c r="L255" s="32" t="s">
        <v>907</v>
      </c>
      <c r="M255" s="31">
        <f>2770</f>
        <v>2770</v>
      </c>
      <c r="N255" s="32" t="s">
        <v>818</v>
      </c>
      <c r="O255" s="31">
        <f>2593</f>
        <v>2593</v>
      </c>
      <c r="P255" s="32" t="s">
        <v>907</v>
      </c>
      <c r="Q255" s="31">
        <f>2768</f>
        <v>2768</v>
      </c>
      <c r="R255" s="32" t="s">
        <v>818</v>
      </c>
      <c r="S255" s="33">
        <f>2712.75</f>
        <v>2712.75</v>
      </c>
      <c r="T255" s="30">
        <f>482370</f>
        <v>482370</v>
      </c>
      <c r="U255" s="30">
        <f>182000</f>
        <v>182000</v>
      </c>
      <c r="V255" s="30">
        <f>1294362732</f>
        <v>1294362732</v>
      </c>
      <c r="W255" s="30">
        <f>486693400</f>
        <v>486693400</v>
      </c>
      <c r="X255" s="34">
        <f>20</f>
        <v>20</v>
      </c>
    </row>
    <row r="256" spans="1:24" x14ac:dyDescent="0.15">
      <c r="A256" s="25" t="s">
        <v>1036</v>
      </c>
      <c r="B256" s="25" t="s">
        <v>799</v>
      </c>
      <c r="C256" s="25" t="s">
        <v>800</v>
      </c>
      <c r="D256" s="25" t="s">
        <v>801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1848</f>
        <v>1848</v>
      </c>
      <c r="L256" s="32" t="s">
        <v>907</v>
      </c>
      <c r="M256" s="31">
        <f>1945</f>
        <v>1945</v>
      </c>
      <c r="N256" s="32" t="s">
        <v>810</v>
      </c>
      <c r="O256" s="31">
        <f>1837</f>
        <v>1837</v>
      </c>
      <c r="P256" s="32" t="s">
        <v>907</v>
      </c>
      <c r="Q256" s="31">
        <f>1931</f>
        <v>1931</v>
      </c>
      <c r="R256" s="32" t="s">
        <v>818</v>
      </c>
      <c r="S256" s="33">
        <f>1901.95</f>
        <v>1901.95</v>
      </c>
      <c r="T256" s="30">
        <f>752845</f>
        <v>752845</v>
      </c>
      <c r="U256" s="30">
        <f>293920</f>
        <v>293920</v>
      </c>
      <c r="V256" s="30">
        <f>1429270895</f>
        <v>1429270895</v>
      </c>
      <c r="W256" s="30">
        <f>556008269</f>
        <v>556008269</v>
      </c>
      <c r="X256" s="34">
        <f>20</f>
        <v>20</v>
      </c>
    </row>
    <row r="257" spans="1:24" x14ac:dyDescent="0.15">
      <c r="A257" s="25" t="s">
        <v>1036</v>
      </c>
      <c r="B257" s="25" t="s">
        <v>802</v>
      </c>
      <c r="C257" s="25" t="s">
        <v>803</v>
      </c>
      <c r="D257" s="25" t="s">
        <v>804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1793</f>
        <v>1793</v>
      </c>
      <c r="L257" s="32" t="s">
        <v>907</v>
      </c>
      <c r="M257" s="31">
        <f>1900</f>
        <v>1900</v>
      </c>
      <c r="N257" s="32" t="s">
        <v>812</v>
      </c>
      <c r="O257" s="31">
        <f>1767</f>
        <v>1767</v>
      </c>
      <c r="P257" s="32" t="s">
        <v>907</v>
      </c>
      <c r="Q257" s="31">
        <f>1891</f>
        <v>1891</v>
      </c>
      <c r="R257" s="32" t="s">
        <v>818</v>
      </c>
      <c r="S257" s="33">
        <f>1858.95</f>
        <v>1858.95</v>
      </c>
      <c r="T257" s="30">
        <f>20213</f>
        <v>20213</v>
      </c>
      <c r="U257" s="30" t="str">
        <f>"－"</f>
        <v>－</v>
      </c>
      <c r="V257" s="30">
        <f>37140945</f>
        <v>37140945</v>
      </c>
      <c r="W257" s="30" t="str">
        <f>"－"</f>
        <v>－</v>
      </c>
      <c r="X257" s="34">
        <f>20</f>
        <v>20</v>
      </c>
    </row>
    <row r="258" spans="1:24" x14ac:dyDescent="0.15">
      <c r="A258" s="25" t="s">
        <v>1036</v>
      </c>
      <c r="B258" s="25" t="s">
        <v>805</v>
      </c>
      <c r="C258" s="25" t="s">
        <v>806</v>
      </c>
      <c r="D258" s="25" t="s">
        <v>807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1417</f>
        <v>1417</v>
      </c>
      <c r="L258" s="32" t="s">
        <v>907</v>
      </c>
      <c r="M258" s="31">
        <f>1529</f>
        <v>1529</v>
      </c>
      <c r="N258" s="32" t="s">
        <v>80</v>
      </c>
      <c r="O258" s="31">
        <f>1395</f>
        <v>1395</v>
      </c>
      <c r="P258" s="32" t="s">
        <v>907</v>
      </c>
      <c r="Q258" s="31">
        <f>1489</f>
        <v>1489</v>
      </c>
      <c r="R258" s="32" t="s">
        <v>818</v>
      </c>
      <c r="S258" s="33">
        <f>1473.6</f>
        <v>1473.6</v>
      </c>
      <c r="T258" s="30">
        <f>31707</f>
        <v>31707</v>
      </c>
      <c r="U258" s="30" t="str">
        <f>"－"</f>
        <v>－</v>
      </c>
      <c r="V258" s="30">
        <f>46710063</f>
        <v>46710063</v>
      </c>
      <c r="W258" s="30" t="str">
        <f>"－"</f>
        <v>－</v>
      </c>
      <c r="X258" s="34">
        <f>20</f>
        <v>20</v>
      </c>
    </row>
    <row r="259" spans="1:24" x14ac:dyDescent="0.15">
      <c r="A259" s="25" t="s">
        <v>1036</v>
      </c>
      <c r="B259" s="25" t="s">
        <v>824</v>
      </c>
      <c r="C259" s="25" t="s">
        <v>825</v>
      </c>
      <c r="D259" s="25" t="s">
        <v>826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1946</f>
        <v>1946</v>
      </c>
      <c r="L259" s="32" t="s">
        <v>907</v>
      </c>
      <c r="M259" s="31">
        <f>2160</f>
        <v>2160</v>
      </c>
      <c r="N259" s="32" t="s">
        <v>812</v>
      </c>
      <c r="O259" s="31">
        <f>1830</f>
        <v>1830</v>
      </c>
      <c r="P259" s="32" t="s">
        <v>813</v>
      </c>
      <c r="Q259" s="31">
        <f>2096</f>
        <v>2096</v>
      </c>
      <c r="R259" s="32" t="s">
        <v>818</v>
      </c>
      <c r="S259" s="33">
        <f>2012.85</f>
        <v>2012.85</v>
      </c>
      <c r="T259" s="30">
        <f>37425</f>
        <v>37425</v>
      </c>
      <c r="U259" s="30" t="str">
        <f>"－"</f>
        <v>－</v>
      </c>
      <c r="V259" s="30">
        <f>75333147</f>
        <v>75333147</v>
      </c>
      <c r="W259" s="30" t="str">
        <f>"－"</f>
        <v>－</v>
      </c>
      <c r="X259" s="34">
        <f>20</f>
        <v>20</v>
      </c>
    </row>
    <row r="260" spans="1:24" x14ac:dyDescent="0.15">
      <c r="A260" s="25" t="s">
        <v>1036</v>
      </c>
      <c r="B260" s="25" t="s">
        <v>827</v>
      </c>
      <c r="C260" s="25" t="s">
        <v>828</v>
      </c>
      <c r="D260" s="25" t="s">
        <v>829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2319</f>
        <v>2319</v>
      </c>
      <c r="L260" s="32" t="s">
        <v>907</v>
      </c>
      <c r="M260" s="31">
        <f>2440</f>
        <v>2440</v>
      </c>
      <c r="N260" s="32" t="s">
        <v>80</v>
      </c>
      <c r="O260" s="31">
        <f>2120</f>
        <v>2120</v>
      </c>
      <c r="P260" s="32" t="s">
        <v>818</v>
      </c>
      <c r="Q260" s="31">
        <f>2140</f>
        <v>2140</v>
      </c>
      <c r="R260" s="32" t="s">
        <v>818</v>
      </c>
      <c r="S260" s="33">
        <f>2296.15</f>
        <v>2296.15</v>
      </c>
      <c r="T260" s="30">
        <f>17381</f>
        <v>17381</v>
      </c>
      <c r="U260" s="30" t="str">
        <f>"－"</f>
        <v>－</v>
      </c>
      <c r="V260" s="30">
        <f>38899283</f>
        <v>38899283</v>
      </c>
      <c r="W260" s="30" t="str">
        <f>"－"</f>
        <v>－</v>
      </c>
      <c r="X260" s="34">
        <f>20</f>
        <v>20</v>
      </c>
    </row>
    <row r="261" spans="1:24" x14ac:dyDescent="0.15">
      <c r="A261" s="25" t="s">
        <v>1036</v>
      </c>
      <c r="B261" s="25" t="s">
        <v>830</v>
      </c>
      <c r="C261" s="25" t="s">
        <v>831</v>
      </c>
      <c r="D261" s="25" t="s">
        <v>832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9034</f>
        <v>9034</v>
      </c>
      <c r="L261" s="32" t="s">
        <v>907</v>
      </c>
      <c r="M261" s="31">
        <f>9826</f>
        <v>9826</v>
      </c>
      <c r="N261" s="32" t="s">
        <v>818</v>
      </c>
      <c r="O261" s="31">
        <f>8984</f>
        <v>8984</v>
      </c>
      <c r="P261" s="32" t="s">
        <v>907</v>
      </c>
      <c r="Q261" s="31">
        <f>9815</f>
        <v>9815</v>
      </c>
      <c r="R261" s="32" t="s">
        <v>818</v>
      </c>
      <c r="S261" s="33">
        <f>9379.35</f>
        <v>9379.35</v>
      </c>
      <c r="T261" s="30">
        <f>869758</f>
        <v>869758</v>
      </c>
      <c r="U261" s="30">
        <f>153748</f>
        <v>153748</v>
      </c>
      <c r="V261" s="30">
        <f>8143714271</f>
        <v>8143714271</v>
      </c>
      <c r="W261" s="30">
        <f>1443267548</f>
        <v>1443267548</v>
      </c>
      <c r="X261" s="34">
        <f>20</f>
        <v>20</v>
      </c>
    </row>
    <row r="262" spans="1:24" x14ac:dyDescent="0.15">
      <c r="A262" s="25" t="s">
        <v>1036</v>
      </c>
      <c r="B262" s="25" t="s">
        <v>833</v>
      </c>
      <c r="C262" s="25" t="s">
        <v>834</v>
      </c>
      <c r="D262" s="25" t="s">
        <v>835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11350</f>
        <v>11350</v>
      </c>
      <c r="L262" s="32" t="s">
        <v>907</v>
      </c>
      <c r="M262" s="31">
        <f>12275</f>
        <v>12275</v>
      </c>
      <c r="N262" s="32" t="s">
        <v>818</v>
      </c>
      <c r="O262" s="31">
        <f>11290</f>
        <v>11290</v>
      </c>
      <c r="P262" s="32" t="s">
        <v>907</v>
      </c>
      <c r="Q262" s="31">
        <f>12240</f>
        <v>12240</v>
      </c>
      <c r="R262" s="32" t="s">
        <v>818</v>
      </c>
      <c r="S262" s="33">
        <f>11861.75</f>
        <v>11861.75</v>
      </c>
      <c r="T262" s="30">
        <f>1053546</f>
        <v>1053546</v>
      </c>
      <c r="U262" s="30">
        <f>10003</f>
        <v>10003</v>
      </c>
      <c r="V262" s="30">
        <f>12484904785</f>
        <v>12484904785</v>
      </c>
      <c r="W262" s="30">
        <f>120986100</f>
        <v>120986100</v>
      </c>
      <c r="X262" s="34">
        <f>20</f>
        <v>20</v>
      </c>
    </row>
    <row r="263" spans="1:24" x14ac:dyDescent="0.15">
      <c r="A263" s="25" t="s">
        <v>1036</v>
      </c>
      <c r="B263" s="25" t="s">
        <v>836</v>
      </c>
      <c r="C263" s="25" t="s">
        <v>837</v>
      </c>
      <c r="D263" s="25" t="s">
        <v>838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8036</f>
        <v>8036</v>
      </c>
      <c r="L263" s="32" t="s">
        <v>907</v>
      </c>
      <c r="M263" s="31">
        <f>8538</f>
        <v>8538</v>
      </c>
      <c r="N263" s="32" t="s">
        <v>80</v>
      </c>
      <c r="O263" s="31">
        <f>7825</f>
        <v>7825</v>
      </c>
      <c r="P263" s="32" t="s">
        <v>819</v>
      </c>
      <c r="Q263" s="31">
        <f>8410</f>
        <v>8410</v>
      </c>
      <c r="R263" s="32" t="s">
        <v>818</v>
      </c>
      <c r="S263" s="33">
        <f>8190.55</f>
        <v>8190.55</v>
      </c>
      <c r="T263" s="30">
        <f>1030789</f>
        <v>1030789</v>
      </c>
      <c r="U263" s="30">
        <f>4</f>
        <v>4</v>
      </c>
      <c r="V263" s="30">
        <f>8443640582</f>
        <v>8443640582</v>
      </c>
      <c r="W263" s="30">
        <f>32292</f>
        <v>32292</v>
      </c>
      <c r="X263" s="34">
        <f>20</f>
        <v>20</v>
      </c>
    </row>
    <row r="264" spans="1:24" x14ac:dyDescent="0.15">
      <c r="A264" s="25" t="s">
        <v>1036</v>
      </c>
      <c r="B264" s="25" t="s">
        <v>839</v>
      </c>
      <c r="C264" s="25" t="s">
        <v>840</v>
      </c>
      <c r="D264" s="25" t="s">
        <v>841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2387</f>
        <v>2387</v>
      </c>
      <c r="L264" s="32" t="s">
        <v>907</v>
      </c>
      <c r="M264" s="31">
        <f>2662</f>
        <v>2662</v>
      </c>
      <c r="N264" s="32" t="s">
        <v>818</v>
      </c>
      <c r="O264" s="31">
        <f>2377</f>
        <v>2377</v>
      </c>
      <c r="P264" s="32" t="s">
        <v>907</v>
      </c>
      <c r="Q264" s="31">
        <f>2657.5</f>
        <v>2657.5</v>
      </c>
      <c r="R264" s="32" t="s">
        <v>818</v>
      </c>
      <c r="S264" s="33">
        <f>2525.9</f>
        <v>2525.9</v>
      </c>
      <c r="T264" s="30">
        <f>1535210</f>
        <v>1535210</v>
      </c>
      <c r="U264" s="30">
        <f>160</f>
        <v>160</v>
      </c>
      <c r="V264" s="30">
        <f>3892602160</f>
        <v>3892602160</v>
      </c>
      <c r="W264" s="30">
        <f>360320</f>
        <v>360320</v>
      </c>
      <c r="X264" s="34">
        <f>20</f>
        <v>20</v>
      </c>
    </row>
    <row r="265" spans="1:24" x14ac:dyDescent="0.15">
      <c r="A265" s="25" t="s">
        <v>1036</v>
      </c>
      <c r="B265" s="25" t="s">
        <v>842</v>
      </c>
      <c r="C265" s="25" t="s">
        <v>843</v>
      </c>
      <c r="D265" s="25" t="s">
        <v>844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1765</f>
        <v>1765</v>
      </c>
      <c r="L265" s="32" t="s">
        <v>907</v>
      </c>
      <c r="M265" s="31">
        <f>1922</f>
        <v>1922</v>
      </c>
      <c r="N265" s="32" t="s">
        <v>818</v>
      </c>
      <c r="O265" s="31">
        <f>1754.5</f>
        <v>1754.5</v>
      </c>
      <c r="P265" s="32" t="s">
        <v>907</v>
      </c>
      <c r="Q265" s="31">
        <f>1919</f>
        <v>1919</v>
      </c>
      <c r="R265" s="32" t="s">
        <v>818</v>
      </c>
      <c r="S265" s="33">
        <f>1834.9</f>
        <v>1834.9</v>
      </c>
      <c r="T265" s="30">
        <f>7670270</f>
        <v>7670270</v>
      </c>
      <c r="U265" s="30">
        <f>1849010</f>
        <v>1849010</v>
      </c>
      <c r="V265" s="30">
        <f>14040139765</f>
        <v>14040139765</v>
      </c>
      <c r="W265" s="30">
        <f>3389452910</f>
        <v>3389452910</v>
      </c>
      <c r="X265" s="34">
        <f>20</f>
        <v>20</v>
      </c>
    </row>
    <row r="266" spans="1:24" x14ac:dyDescent="0.15">
      <c r="A266" s="25" t="s">
        <v>1036</v>
      </c>
      <c r="B266" s="25" t="s">
        <v>845</v>
      </c>
      <c r="C266" s="25" t="s">
        <v>846</v>
      </c>
      <c r="D266" s="25" t="s">
        <v>847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2448.5</f>
        <v>2448.5</v>
      </c>
      <c r="L266" s="32" t="s">
        <v>907</v>
      </c>
      <c r="M266" s="31">
        <f>2746</f>
        <v>2746</v>
      </c>
      <c r="N266" s="32" t="s">
        <v>818</v>
      </c>
      <c r="O266" s="31">
        <f>2443.5</f>
        <v>2443.5</v>
      </c>
      <c r="P266" s="32" t="s">
        <v>907</v>
      </c>
      <c r="Q266" s="31">
        <f>2739</f>
        <v>2739</v>
      </c>
      <c r="R266" s="32" t="s">
        <v>818</v>
      </c>
      <c r="S266" s="33">
        <f>2604.75</f>
        <v>2604.75</v>
      </c>
      <c r="T266" s="30">
        <f>454990</f>
        <v>454990</v>
      </c>
      <c r="U266" s="30">
        <f>20</f>
        <v>20</v>
      </c>
      <c r="V266" s="30">
        <f>1190845455</f>
        <v>1190845455</v>
      </c>
      <c r="W266" s="30">
        <f>50055</f>
        <v>50055</v>
      </c>
      <c r="X266" s="34">
        <f>20</f>
        <v>20</v>
      </c>
    </row>
    <row r="267" spans="1:24" x14ac:dyDescent="0.15">
      <c r="A267" s="25" t="s">
        <v>1036</v>
      </c>
      <c r="B267" s="25" t="s">
        <v>848</v>
      </c>
      <c r="C267" s="25" t="s">
        <v>849</v>
      </c>
      <c r="D267" s="25" t="s">
        <v>850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2375</f>
        <v>2375</v>
      </c>
      <c r="L267" s="32" t="s">
        <v>907</v>
      </c>
      <c r="M267" s="31">
        <f>2551</f>
        <v>2551</v>
      </c>
      <c r="N267" s="32" t="s">
        <v>695</v>
      </c>
      <c r="O267" s="31">
        <f>2370</f>
        <v>2370</v>
      </c>
      <c r="P267" s="32" t="s">
        <v>907</v>
      </c>
      <c r="Q267" s="31">
        <f>2513</f>
        <v>2513</v>
      </c>
      <c r="R267" s="32" t="s">
        <v>818</v>
      </c>
      <c r="S267" s="33">
        <f>2467.47</f>
        <v>2467.4699999999998</v>
      </c>
      <c r="T267" s="30">
        <f>24987</f>
        <v>24987</v>
      </c>
      <c r="U267" s="30" t="str">
        <f>"－"</f>
        <v>－</v>
      </c>
      <c r="V267" s="30">
        <f>61560323</f>
        <v>61560323</v>
      </c>
      <c r="W267" s="30" t="str">
        <f>"－"</f>
        <v>－</v>
      </c>
      <c r="X267" s="34">
        <f>19</f>
        <v>19</v>
      </c>
    </row>
    <row r="268" spans="1:24" x14ac:dyDescent="0.15">
      <c r="A268" s="25" t="s">
        <v>1036</v>
      </c>
      <c r="B268" s="25" t="s">
        <v>851</v>
      </c>
      <c r="C268" s="25" t="s">
        <v>852</v>
      </c>
      <c r="D268" s="25" t="s">
        <v>853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1515</f>
        <v>1515</v>
      </c>
      <c r="L268" s="32" t="s">
        <v>907</v>
      </c>
      <c r="M268" s="31">
        <f>1609</f>
        <v>1609</v>
      </c>
      <c r="N268" s="32" t="s">
        <v>80</v>
      </c>
      <c r="O268" s="31">
        <f>1497</f>
        <v>1497</v>
      </c>
      <c r="P268" s="32" t="s">
        <v>56</v>
      </c>
      <c r="Q268" s="31">
        <f>1539</f>
        <v>1539</v>
      </c>
      <c r="R268" s="32" t="s">
        <v>818</v>
      </c>
      <c r="S268" s="33">
        <f>1541.6</f>
        <v>1541.6</v>
      </c>
      <c r="T268" s="30">
        <f>61050</f>
        <v>61050</v>
      </c>
      <c r="U268" s="30">
        <f>1</f>
        <v>1</v>
      </c>
      <c r="V268" s="30">
        <f>92856467</f>
        <v>92856467</v>
      </c>
      <c r="W268" s="30">
        <f>1536</f>
        <v>1536</v>
      </c>
      <c r="X268" s="34">
        <f>20</f>
        <v>20</v>
      </c>
    </row>
    <row r="269" spans="1:24" x14ac:dyDescent="0.15">
      <c r="A269" s="25" t="s">
        <v>1036</v>
      </c>
      <c r="B269" s="25" t="s">
        <v>854</v>
      </c>
      <c r="C269" s="25" t="s">
        <v>855</v>
      </c>
      <c r="D269" s="25" t="s">
        <v>856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1775</f>
        <v>1775</v>
      </c>
      <c r="L269" s="32" t="s">
        <v>907</v>
      </c>
      <c r="M269" s="31">
        <f>1903</f>
        <v>1903</v>
      </c>
      <c r="N269" s="32" t="s">
        <v>80</v>
      </c>
      <c r="O269" s="31">
        <f>1772</f>
        <v>1772</v>
      </c>
      <c r="P269" s="32" t="s">
        <v>907</v>
      </c>
      <c r="Q269" s="31">
        <f>1885</f>
        <v>1885</v>
      </c>
      <c r="R269" s="32" t="s">
        <v>818</v>
      </c>
      <c r="S269" s="33">
        <f>1844.3</f>
        <v>1844.3</v>
      </c>
      <c r="T269" s="30">
        <f>289286</f>
        <v>289286</v>
      </c>
      <c r="U269" s="30" t="str">
        <f>"－"</f>
        <v>－</v>
      </c>
      <c r="V269" s="30">
        <f>534993017</f>
        <v>534993017</v>
      </c>
      <c r="W269" s="30" t="str">
        <f>"－"</f>
        <v>－</v>
      </c>
      <c r="X269" s="34">
        <f>20</f>
        <v>20</v>
      </c>
    </row>
    <row r="270" spans="1:24" x14ac:dyDescent="0.15">
      <c r="A270" s="25" t="s">
        <v>1036</v>
      </c>
      <c r="B270" s="25" t="s">
        <v>857</v>
      </c>
      <c r="C270" s="25" t="s">
        <v>858</v>
      </c>
      <c r="D270" s="25" t="s">
        <v>859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1560</f>
        <v>1560</v>
      </c>
      <c r="L270" s="32" t="s">
        <v>907</v>
      </c>
      <c r="M270" s="31">
        <f>1666</f>
        <v>1666</v>
      </c>
      <c r="N270" s="32" t="s">
        <v>818</v>
      </c>
      <c r="O270" s="31">
        <f>1545</f>
        <v>1545</v>
      </c>
      <c r="P270" s="32" t="s">
        <v>907</v>
      </c>
      <c r="Q270" s="31">
        <f>1666</f>
        <v>1666</v>
      </c>
      <c r="R270" s="32" t="s">
        <v>818</v>
      </c>
      <c r="S270" s="33">
        <f>1628.2</f>
        <v>1628.2</v>
      </c>
      <c r="T270" s="30">
        <f>10451</f>
        <v>10451</v>
      </c>
      <c r="U270" s="30" t="str">
        <f>"－"</f>
        <v>－</v>
      </c>
      <c r="V270" s="30">
        <f>16834590</f>
        <v>16834590</v>
      </c>
      <c r="W270" s="30" t="str">
        <f>"－"</f>
        <v>－</v>
      </c>
      <c r="X270" s="34">
        <f>20</f>
        <v>20</v>
      </c>
    </row>
    <row r="271" spans="1:24" x14ac:dyDescent="0.15">
      <c r="A271" s="25" t="s">
        <v>1036</v>
      </c>
      <c r="B271" s="25" t="s">
        <v>860</v>
      </c>
      <c r="C271" s="25" t="s">
        <v>861</v>
      </c>
      <c r="D271" s="25" t="s">
        <v>862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2475</f>
        <v>2475</v>
      </c>
      <c r="L271" s="32" t="s">
        <v>907</v>
      </c>
      <c r="M271" s="31">
        <f>2610</f>
        <v>2610</v>
      </c>
      <c r="N271" s="32" t="s">
        <v>810</v>
      </c>
      <c r="O271" s="31">
        <f>2444</f>
        <v>2444</v>
      </c>
      <c r="P271" s="32" t="s">
        <v>907</v>
      </c>
      <c r="Q271" s="31">
        <f>2588</f>
        <v>2588</v>
      </c>
      <c r="R271" s="32" t="s">
        <v>818</v>
      </c>
      <c r="S271" s="33">
        <f>2547.7</f>
        <v>2547.6999999999998</v>
      </c>
      <c r="T271" s="30">
        <f>37928</f>
        <v>37928</v>
      </c>
      <c r="U271" s="30" t="str">
        <f>"－"</f>
        <v>－</v>
      </c>
      <c r="V271" s="30">
        <f>95538484</f>
        <v>95538484</v>
      </c>
      <c r="W271" s="30" t="str">
        <f>"－"</f>
        <v>－</v>
      </c>
      <c r="X271" s="34">
        <f>20</f>
        <v>20</v>
      </c>
    </row>
    <row r="272" spans="1:24" x14ac:dyDescent="0.15">
      <c r="A272" s="25" t="s">
        <v>1036</v>
      </c>
      <c r="B272" s="25" t="s">
        <v>863</v>
      </c>
      <c r="C272" s="25" t="s">
        <v>864</v>
      </c>
      <c r="D272" s="25" t="s">
        <v>865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1885</f>
        <v>1885</v>
      </c>
      <c r="L272" s="32" t="s">
        <v>907</v>
      </c>
      <c r="M272" s="31">
        <f>2010</f>
        <v>2010</v>
      </c>
      <c r="N272" s="32" t="s">
        <v>80</v>
      </c>
      <c r="O272" s="31">
        <f>1885</f>
        <v>1885</v>
      </c>
      <c r="P272" s="32" t="s">
        <v>907</v>
      </c>
      <c r="Q272" s="31">
        <f>2004</f>
        <v>2004</v>
      </c>
      <c r="R272" s="32" t="s">
        <v>818</v>
      </c>
      <c r="S272" s="33">
        <f>1971.5</f>
        <v>1971.5</v>
      </c>
      <c r="T272" s="30">
        <f>11453</f>
        <v>11453</v>
      </c>
      <c r="U272" s="30">
        <f>2</f>
        <v>2</v>
      </c>
      <c r="V272" s="30">
        <f>22704808</f>
        <v>22704808</v>
      </c>
      <c r="W272" s="30">
        <f>3905</f>
        <v>3905</v>
      </c>
      <c r="X272" s="34">
        <f>20</f>
        <v>20</v>
      </c>
    </row>
    <row r="273" spans="1:24" x14ac:dyDescent="0.15">
      <c r="A273" s="25" t="s">
        <v>1036</v>
      </c>
      <c r="B273" s="25" t="s">
        <v>866</v>
      </c>
      <c r="C273" s="25" t="s">
        <v>867</v>
      </c>
      <c r="D273" s="25" t="s">
        <v>868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24330</f>
        <v>24330</v>
      </c>
      <c r="L273" s="32" t="s">
        <v>907</v>
      </c>
      <c r="M273" s="31">
        <f>25660</f>
        <v>25660</v>
      </c>
      <c r="N273" s="32" t="s">
        <v>80</v>
      </c>
      <c r="O273" s="31">
        <f>24330</f>
        <v>24330</v>
      </c>
      <c r="P273" s="32" t="s">
        <v>907</v>
      </c>
      <c r="Q273" s="31">
        <f>25660</f>
        <v>25660</v>
      </c>
      <c r="R273" s="32" t="s">
        <v>818</v>
      </c>
      <c r="S273" s="33">
        <f>25299.69</f>
        <v>25299.69</v>
      </c>
      <c r="T273" s="30">
        <f>51</f>
        <v>51</v>
      </c>
      <c r="U273" s="30" t="str">
        <f>"－"</f>
        <v>－</v>
      </c>
      <c r="V273" s="30">
        <f>1293505</f>
        <v>1293505</v>
      </c>
      <c r="W273" s="30" t="str">
        <f>"－"</f>
        <v>－</v>
      </c>
      <c r="X273" s="34">
        <f>16</f>
        <v>16</v>
      </c>
    </row>
    <row r="274" spans="1:24" x14ac:dyDescent="0.15">
      <c r="A274" s="25" t="s">
        <v>1036</v>
      </c>
      <c r="B274" s="25" t="s">
        <v>869</v>
      </c>
      <c r="C274" s="25" t="s">
        <v>870</v>
      </c>
      <c r="D274" s="25" t="s">
        <v>871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1900</f>
        <v>1900</v>
      </c>
      <c r="L274" s="32" t="s">
        <v>907</v>
      </c>
      <c r="M274" s="31">
        <f>2018</f>
        <v>2018</v>
      </c>
      <c r="N274" s="32" t="s">
        <v>821</v>
      </c>
      <c r="O274" s="31">
        <f>1890</f>
        <v>1890</v>
      </c>
      <c r="P274" s="32" t="s">
        <v>907</v>
      </c>
      <c r="Q274" s="31">
        <f>1974</f>
        <v>1974</v>
      </c>
      <c r="R274" s="32" t="s">
        <v>818</v>
      </c>
      <c r="S274" s="33">
        <f>1960.35</f>
        <v>1960.35</v>
      </c>
      <c r="T274" s="30">
        <f>84734</f>
        <v>84734</v>
      </c>
      <c r="U274" s="30" t="str">
        <f>"－"</f>
        <v>－</v>
      </c>
      <c r="V274" s="30">
        <f>167073161</f>
        <v>167073161</v>
      </c>
      <c r="W274" s="30" t="str">
        <f>"－"</f>
        <v>－</v>
      </c>
      <c r="X274" s="34">
        <f>20</f>
        <v>20</v>
      </c>
    </row>
    <row r="275" spans="1:24" x14ac:dyDescent="0.15">
      <c r="A275" s="25" t="s">
        <v>1036</v>
      </c>
      <c r="B275" s="25" t="s">
        <v>872</v>
      </c>
      <c r="C275" s="25" t="s">
        <v>873</v>
      </c>
      <c r="D275" s="25" t="s">
        <v>874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1839</f>
        <v>1839</v>
      </c>
      <c r="L275" s="32" t="s">
        <v>907</v>
      </c>
      <c r="M275" s="31">
        <f>2059</f>
        <v>2059</v>
      </c>
      <c r="N275" s="32" t="s">
        <v>818</v>
      </c>
      <c r="O275" s="31">
        <f>1837</f>
        <v>1837</v>
      </c>
      <c r="P275" s="32" t="s">
        <v>907</v>
      </c>
      <c r="Q275" s="31">
        <f>2047</f>
        <v>2047</v>
      </c>
      <c r="R275" s="32" t="s">
        <v>818</v>
      </c>
      <c r="S275" s="33">
        <f>1960.75</f>
        <v>1960.75</v>
      </c>
      <c r="T275" s="30">
        <f>208400</f>
        <v>208400</v>
      </c>
      <c r="U275" s="30">
        <f>3</f>
        <v>3</v>
      </c>
      <c r="V275" s="30">
        <f>410249352</f>
        <v>410249352</v>
      </c>
      <c r="W275" s="30">
        <f>6033</f>
        <v>6033</v>
      </c>
      <c r="X275" s="34">
        <f>20</f>
        <v>20</v>
      </c>
    </row>
    <row r="276" spans="1:24" x14ac:dyDescent="0.15">
      <c r="A276" s="25" t="s">
        <v>1036</v>
      </c>
      <c r="B276" s="25" t="s">
        <v>875</v>
      </c>
      <c r="C276" s="25" t="s">
        <v>876</v>
      </c>
      <c r="D276" s="25" t="s">
        <v>877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1733</f>
        <v>1733</v>
      </c>
      <c r="L276" s="32" t="s">
        <v>907</v>
      </c>
      <c r="M276" s="31">
        <f>1830</f>
        <v>1830</v>
      </c>
      <c r="N276" s="32" t="s">
        <v>814</v>
      </c>
      <c r="O276" s="31">
        <f>1710</f>
        <v>1710</v>
      </c>
      <c r="P276" s="32" t="s">
        <v>907</v>
      </c>
      <c r="Q276" s="31">
        <f>1806</f>
        <v>1806</v>
      </c>
      <c r="R276" s="32" t="s">
        <v>818</v>
      </c>
      <c r="S276" s="33">
        <f>1796.55</f>
        <v>1796.55</v>
      </c>
      <c r="T276" s="30">
        <f>18111</f>
        <v>18111</v>
      </c>
      <c r="U276" s="30" t="str">
        <f>"－"</f>
        <v>－</v>
      </c>
      <c r="V276" s="30">
        <f>32861800</f>
        <v>32861800</v>
      </c>
      <c r="W276" s="30" t="str">
        <f>"－"</f>
        <v>－</v>
      </c>
      <c r="X276" s="34">
        <f>20</f>
        <v>20</v>
      </c>
    </row>
    <row r="277" spans="1:24" x14ac:dyDescent="0.15">
      <c r="A277" s="25" t="s">
        <v>1036</v>
      </c>
      <c r="B277" s="25" t="s">
        <v>878</v>
      </c>
      <c r="C277" s="25" t="s">
        <v>879</v>
      </c>
      <c r="D277" s="25" t="s">
        <v>880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1298</f>
        <v>1298</v>
      </c>
      <c r="L277" s="32" t="s">
        <v>907</v>
      </c>
      <c r="M277" s="31">
        <f>1375</f>
        <v>1375</v>
      </c>
      <c r="N277" s="32" t="s">
        <v>80</v>
      </c>
      <c r="O277" s="31">
        <f>1291</f>
        <v>1291</v>
      </c>
      <c r="P277" s="32" t="s">
        <v>907</v>
      </c>
      <c r="Q277" s="31">
        <f>1312</f>
        <v>1312</v>
      </c>
      <c r="R277" s="32" t="s">
        <v>818</v>
      </c>
      <c r="S277" s="33">
        <f>1327.35</f>
        <v>1327.35</v>
      </c>
      <c r="T277" s="30">
        <f>10062</f>
        <v>10062</v>
      </c>
      <c r="U277" s="30" t="str">
        <f>"－"</f>
        <v>－</v>
      </c>
      <c r="V277" s="30">
        <f>13562410</f>
        <v>13562410</v>
      </c>
      <c r="W277" s="30" t="str">
        <f>"－"</f>
        <v>－</v>
      </c>
      <c r="X277" s="34">
        <f>20</f>
        <v>20</v>
      </c>
    </row>
    <row r="278" spans="1:24" x14ac:dyDescent="0.15">
      <c r="A278" s="25" t="s">
        <v>1036</v>
      </c>
      <c r="B278" s="25" t="s">
        <v>881</v>
      </c>
      <c r="C278" s="25" t="s">
        <v>882</v>
      </c>
      <c r="D278" s="25" t="s">
        <v>883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5356</f>
        <v>5356</v>
      </c>
      <c r="L278" s="32" t="s">
        <v>907</v>
      </c>
      <c r="M278" s="31">
        <f>5465</f>
        <v>5465</v>
      </c>
      <c r="N278" s="32" t="s">
        <v>814</v>
      </c>
      <c r="O278" s="31">
        <f>5350</f>
        <v>5350</v>
      </c>
      <c r="P278" s="32" t="s">
        <v>821</v>
      </c>
      <c r="Q278" s="31">
        <f>5430</f>
        <v>5430</v>
      </c>
      <c r="R278" s="32" t="s">
        <v>818</v>
      </c>
      <c r="S278" s="33">
        <f>5401.94</f>
        <v>5401.94</v>
      </c>
      <c r="T278" s="30">
        <f>342590</f>
        <v>342590</v>
      </c>
      <c r="U278" s="30">
        <f>341300</f>
        <v>341300</v>
      </c>
      <c r="V278" s="30">
        <f>1860396220</f>
        <v>1860396220</v>
      </c>
      <c r="W278" s="30">
        <f>1853421590</f>
        <v>1853421590</v>
      </c>
      <c r="X278" s="34">
        <f>16</f>
        <v>16</v>
      </c>
    </row>
    <row r="279" spans="1:24" x14ac:dyDescent="0.15">
      <c r="A279" s="25" t="s">
        <v>1036</v>
      </c>
      <c r="B279" s="25" t="s">
        <v>884</v>
      </c>
      <c r="C279" s="25" t="s">
        <v>885</v>
      </c>
      <c r="D279" s="25" t="s">
        <v>886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4129</f>
        <v>4129</v>
      </c>
      <c r="L279" s="32" t="s">
        <v>907</v>
      </c>
      <c r="M279" s="31">
        <f>4195</f>
        <v>4195</v>
      </c>
      <c r="N279" s="32" t="s">
        <v>811</v>
      </c>
      <c r="O279" s="31">
        <f>3980</f>
        <v>3980</v>
      </c>
      <c r="P279" s="32" t="s">
        <v>66</v>
      </c>
      <c r="Q279" s="31">
        <f>4099</f>
        <v>4099</v>
      </c>
      <c r="R279" s="32" t="s">
        <v>94</v>
      </c>
      <c r="S279" s="33">
        <f>4083.93</f>
        <v>4083.93</v>
      </c>
      <c r="T279" s="30">
        <f>299610</f>
        <v>299610</v>
      </c>
      <c r="U279" s="30">
        <f>254040</f>
        <v>254040</v>
      </c>
      <c r="V279" s="30">
        <f>1218919290</f>
        <v>1218919290</v>
      </c>
      <c r="W279" s="30">
        <f>1033065680</f>
        <v>1033065680</v>
      </c>
      <c r="X279" s="34">
        <f>14</f>
        <v>14</v>
      </c>
    </row>
    <row r="280" spans="1:24" x14ac:dyDescent="0.15">
      <c r="A280" s="25" t="s">
        <v>1036</v>
      </c>
      <c r="B280" s="25" t="s">
        <v>887</v>
      </c>
      <c r="C280" s="25" t="s">
        <v>888</v>
      </c>
      <c r="D280" s="25" t="s">
        <v>889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688.9</f>
        <v>688.9</v>
      </c>
      <c r="L280" s="32" t="s">
        <v>907</v>
      </c>
      <c r="M280" s="31">
        <f>696.4</f>
        <v>696.4</v>
      </c>
      <c r="N280" s="32" t="s">
        <v>811</v>
      </c>
      <c r="O280" s="31">
        <f>665</f>
        <v>665</v>
      </c>
      <c r="P280" s="32" t="s">
        <v>66</v>
      </c>
      <c r="Q280" s="31">
        <f>683</f>
        <v>683</v>
      </c>
      <c r="R280" s="32" t="s">
        <v>818</v>
      </c>
      <c r="S280" s="33">
        <f>679.72</f>
        <v>679.72</v>
      </c>
      <c r="T280" s="30">
        <f>54610</f>
        <v>54610</v>
      </c>
      <c r="U280" s="30" t="str">
        <f>"－"</f>
        <v>－</v>
      </c>
      <c r="V280" s="30">
        <f>37292585</f>
        <v>37292585</v>
      </c>
      <c r="W280" s="30" t="str">
        <f>"－"</f>
        <v>－</v>
      </c>
      <c r="X280" s="34">
        <f>17</f>
        <v>17</v>
      </c>
    </row>
    <row r="281" spans="1:24" x14ac:dyDescent="0.15">
      <c r="A281" s="25" t="s">
        <v>1036</v>
      </c>
      <c r="B281" s="25" t="s">
        <v>891</v>
      </c>
      <c r="C281" s="25" t="s">
        <v>892</v>
      </c>
      <c r="D281" s="25" t="s">
        <v>893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1980</f>
        <v>1980</v>
      </c>
      <c r="L281" s="32" t="s">
        <v>907</v>
      </c>
      <c r="M281" s="31">
        <f>2164</f>
        <v>2164</v>
      </c>
      <c r="N281" s="32" t="s">
        <v>812</v>
      </c>
      <c r="O281" s="31">
        <f>1975</f>
        <v>1975</v>
      </c>
      <c r="P281" s="32" t="s">
        <v>907</v>
      </c>
      <c r="Q281" s="31">
        <f>2137</f>
        <v>2137</v>
      </c>
      <c r="R281" s="32" t="s">
        <v>818</v>
      </c>
      <c r="S281" s="33">
        <f>2093.89</f>
        <v>2093.89</v>
      </c>
      <c r="T281" s="30">
        <f>38781</f>
        <v>38781</v>
      </c>
      <c r="U281" s="30" t="str">
        <f>"－"</f>
        <v>－</v>
      </c>
      <c r="V281" s="30">
        <f>80964649</f>
        <v>80964649</v>
      </c>
      <c r="W281" s="30" t="str">
        <f>"－"</f>
        <v>－</v>
      </c>
      <c r="X281" s="34">
        <f>18</f>
        <v>18</v>
      </c>
    </row>
    <row r="282" spans="1:24" x14ac:dyDescent="0.15">
      <c r="A282" s="25" t="s">
        <v>1036</v>
      </c>
      <c r="B282" s="25" t="s">
        <v>894</v>
      </c>
      <c r="C282" s="25" t="s">
        <v>895</v>
      </c>
      <c r="D282" s="25" t="s">
        <v>896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1741</f>
        <v>1741</v>
      </c>
      <c r="L282" s="32" t="s">
        <v>907</v>
      </c>
      <c r="M282" s="31">
        <f>1860</f>
        <v>1860</v>
      </c>
      <c r="N282" s="32" t="s">
        <v>80</v>
      </c>
      <c r="O282" s="31">
        <f>1730</f>
        <v>1730</v>
      </c>
      <c r="P282" s="32" t="s">
        <v>907</v>
      </c>
      <c r="Q282" s="31">
        <f>1843</f>
        <v>1843</v>
      </c>
      <c r="R282" s="32" t="s">
        <v>818</v>
      </c>
      <c r="S282" s="33">
        <f>1806.7</f>
        <v>1806.7</v>
      </c>
      <c r="T282" s="30">
        <f>9682</f>
        <v>9682</v>
      </c>
      <c r="U282" s="30" t="str">
        <f>"－"</f>
        <v>－</v>
      </c>
      <c r="V282" s="30">
        <f>17406964</f>
        <v>17406964</v>
      </c>
      <c r="W282" s="30" t="str">
        <f>"－"</f>
        <v>－</v>
      </c>
      <c r="X282" s="34">
        <f>20</f>
        <v>20</v>
      </c>
    </row>
    <row r="283" spans="1:24" x14ac:dyDescent="0.15">
      <c r="A283" s="25" t="s">
        <v>1036</v>
      </c>
      <c r="B283" s="25" t="s">
        <v>897</v>
      </c>
      <c r="C283" s="25" t="s">
        <v>898</v>
      </c>
      <c r="D283" s="25" t="s">
        <v>899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8037</f>
        <v>8037</v>
      </c>
      <c r="L283" s="32" t="s">
        <v>907</v>
      </c>
      <c r="M283" s="31">
        <f>8156</f>
        <v>8156</v>
      </c>
      <c r="N283" s="32" t="s">
        <v>814</v>
      </c>
      <c r="O283" s="31">
        <f>7953</f>
        <v>7953</v>
      </c>
      <c r="P283" s="32" t="s">
        <v>821</v>
      </c>
      <c r="Q283" s="31">
        <f>8103</f>
        <v>8103</v>
      </c>
      <c r="R283" s="32" t="s">
        <v>818</v>
      </c>
      <c r="S283" s="33">
        <f>8070.42</f>
        <v>8070.42</v>
      </c>
      <c r="T283" s="30">
        <f>64745</f>
        <v>64745</v>
      </c>
      <c r="U283" s="30">
        <f>62490</f>
        <v>62490</v>
      </c>
      <c r="V283" s="30">
        <f>523643082</f>
        <v>523643082</v>
      </c>
      <c r="W283" s="30">
        <f>505436469</f>
        <v>505436469</v>
      </c>
      <c r="X283" s="34">
        <f>19</f>
        <v>19</v>
      </c>
    </row>
    <row r="284" spans="1:24" x14ac:dyDescent="0.15">
      <c r="A284" s="25" t="s">
        <v>1036</v>
      </c>
      <c r="B284" s="25" t="s">
        <v>900</v>
      </c>
      <c r="C284" s="25" t="s">
        <v>901</v>
      </c>
      <c r="D284" s="25" t="s">
        <v>902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6250</f>
        <v>6250</v>
      </c>
      <c r="L284" s="32" t="s">
        <v>811</v>
      </c>
      <c r="M284" s="31">
        <f>6250</f>
        <v>6250</v>
      </c>
      <c r="N284" s="32" t="s">
        <v>811</v>
      </c>
      <c r="O284" s="31">
        <f>5940</f>
        <v>5940</v>
      </c>
      <c r="P284" s="32" t="s">
        <v>66</v>
      </c>
      <c r="Q284" s="31">
        <f>6057</f>
        <v>6057</v>
      </c>
      <c r="R284" s="32" t="s">
        <v>818</v>
      </c>
      <c r="S284" s="33">
        <f>6083.42</f>
        <v>6083.42</v>
      </c>
      <c r="T284" s="30">
        <f>165303</f>
        <v>165303</v>
      </c>
      <c r="U284" s="30">
        <f>91045</f>
        <v>91045</v>
      </c>
      <c r="V284" s="30">
        <f>1005862920</f>
        <v>1005862920</v>
      </c>
      <c r="W284" s="30">
        <f>557054692</f>
        <v>557054692</v>
      </c>
      <c r="X284" s="34">
        <f>19</f>
        <v>19</v>
      </c>
    </row>
    <row r="285" spans="1:24" x14ac:dyDescent="0.15">
      <c r="A285" s="25" t="s">
        <v>1036</v>
      </c>
      <c r="B285" s="25" t="s">
        <v>916</v>
      </c>
      <c r="C285" s="25" t="s">
        <v>917</v>
      </c>
      <c r="D285" s="25" t="s">
        <v>918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14835</f>
        <v>14835</v>
      </c>
      <c r="L285" s="32" t="s">
        <v>907</v>
      </c>
      <c r="M285" s="31">
        <f>16060</f>
        <v>16060</v>
      </c>
      <c r="N285" s="32" t="s">
        <v>818</v>
      </c>
      <c r="O285" s="31">
        <f>14780</f>
        <v>14780</v>
      </c>
      <c r="P285" s="32" t="s">
        <v>907</v>
      </c>
      <c r="Q285" s="31">
        <f>16015</f>
        <v>16015</v>
      </c>
      <c r="R285" s="32" t="s">
        <v>818</v>
      </c>
      <c r="S285" s="33">
        <f>15514.25</f>
        <v>15514.25</v>
      </c>
      <c r="T285" s="30">
        <f>434899</f>
        <v>434899</v>
      </c>
      <c r="U285" s="30" t="str">
        <f>"－"</f>
        <v>－</v>
      </c>
      <c r="V285" s="30">
        <f>6759912085</f>
        <v>6759912085</v>
      </c>
      <c r="W285" s="30" t="str">
        <f>"－"</f>
        <v>－</v>
      </c>
      <c r="X285" s="34">
        <f>20</f>
        <v>20</v>
      </c>
    </row>
    <row r="286" spans="1:24" x14ac:dyDescent="0.15">
      <c r="A286" s="25" t="s">
        <v>1036</v>
      </c>
      <c r="B286" s="25" t="s">
        <v>920</v>
      </c>
      <c r="C286" s="25" t="s">
        <v>921</v>
      </c>
      <c r="D286" s="25" t="s">
        <v>922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7540</f>
        <v>7540</v>
      </c>
      <c r="L286" s="32" t="s">
        <v>907</v>
      </c>
      <c r="M286" s="31">
        <f>8021</f>
        <v>8021</v>
      </c>
      <c r="N286" s="32" t="s">
        <v>80</v>
      </c>
      <c r="O286" s="31">
        <f>7348</f>
        <v>7348</v>
      </c>
      <c r="P286" s="32" t="s">
        <v>819</v>
      </c>
      <c r="Q286" s="31">
        <f>7903</f>
        <v>7903</v>
      </c>
      <c r="R286" s="32" t="s">
        <v>818</v>
      </c>
      <c r="S286" s="33">
        <f>7695.65</f>
        <v>7695.65</v>
      </c>
      <c r="T286" s="30">
        <f>994923</f>
        <v>994923</v>
      </c>
      <c r="U286" s="30" t="str">
        <f>"－"</f>
        <v>－</v>
      </c>
      <c r="V286" s="30">
        <f>7638573829</f>
        <v>7638573829</v>
      </c>
      <c r="W286" s="30" t="str">
        <f>"－"</f>
        <v>－</v>
      </c>
      <c r="X286" s="34">
        <f>20</f>
        <v>20</v>
      </c>
    </row>
    <row r="287" spans="1:24" x14ac:dyDescent="0.15">
      <c r="A287" s="25" t="s">
        <v>1036</v>
      </c>
      <c r="B287" s="25" t="s">
        <v>923</v>
      </c>
      <c r="C287" s="25" t="s">
        <v>924</v>
      </c>
      <c r="D287" s="25" t="s">
        <v>925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34080</f>
        <v>34080</v>
      </c>
      <c r="L287" s="32" t="s">
        <v>907</v>
      </c>
      <c r="M287" s="31">
        <f>34470</f>
        <v>34470</v>
      </c>
      <c r="N287" s="32" t="s">
        <v>819</v>
      </c>
      <c r="O287" s="31">
        <f>31720</f>
        <v>31720</v>
      </c>
      <c r="P287" s="32" t="s">
        <v>80</v>
      </c>
      <c r="Q287" s="31">
        <f>32000</f>
        <v>32000</v>
      </c>
      <c r="R287" s="32" t="s">
        <v>818</v>
      </c>
      <c r="S287" s="33">
        <f>32979.5</f>
        <v>32979.5</v>
      </c>
      <c r="T287" s="30">
        <f>1093543</f>
        <v>1093543</v>
      </c>
      <c r="U287" s="30">
        <f>386243</f>
        <v>386243</v>
      </c>
      <c r="V287" s="30">
        <f>36387302617</f>
        <v>36387302617</v>
      </c>
      <c r="W287" s="30">
        <f>12893068747</f>
        <v>12893068747</v>
      </c>
      <c r="X287" s="34">
        <f>20</f>
        <v>20</v>
      </c>
    </row>
    <row r="288" spans="1:24" x14ac:dyDescent="0.15">
      <c r="A288" s="25" t="s">
        <v>1036</v>
      </c>
      <c r="B288" s="25" t="s">
        <v>926</v>
      </c>
      <c r="C288" s="25" t="s">
        <v>927</v>
      </c>
      <c r="D288" s="25" t="s">
        <v>928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4409</f>
        <v>4409</v>
      </c>
      <c r="L288" s="32" t="s">
        <v>80</v>
      </c>
      <c r="M288" s="31">
        <f>4411</f>
        <v>4411</v>
      </c>
      <c r="N288" s="32" t="s">
        <v>818</v>
      </c>
      <c r="O288" s="31">
        <f>4263</f>
        <v>4263</v>
      </c>
      <c r="P288" s="32" t="s">
        <v>66</v>
      </c>
      <c r="Q288" s="31">
        <f>4411</f>
        <v>4411</v>
      </c>
      <c r="R288" s="32" t="s">
        <v>818</v>
      </c>
      <c r="S288" s="33">
        <f>4342.64</f>
        <v>4342.6400000000003</v>
      </c>
      <c r="T288" s="30">
        <f>220</f>
        <v>220</v>
      </c>
      <c r="U288" s="30" t="str">
        <f>"－"</f>
        <v>－</v>
      </c>
      <c r="V288" s="30">
        <f>952750</f>
        <v>952750</v>
      </c>
      <c r="W288" s="30" t="str">
        <f>"－"</f>
        <v>－</v>
      </c>
      <c r="X288" s="34">
        <f>11</f>
        <v>11</v>
      </c>
    </row>
    <row r="289" spans="1:24" x14ac:dyDescent="0.15">
      <c r="A289" s="25" t="s">
        <v>1036</v>
      </c>
      <c r="B289" s="25" t="s">
        <v>930</v>
      </c>
      <c r="C289" s="25" t="s">
        <v>931</v>
      </c>
      <c r="D289" s="25" t="s">
        <v>932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4989</f>
        <v>4989</v>
      </c>
      <c r="L289" s="32" t="s">
        <v>907</v>
      </c>
      <c r="M289" s="31">
        <f>5200</f>
        <v>5200</v>
      </c>
      <c r="N289" s="32" t="s">
        <v>80</v>
      </c>
      <c r="O289" s="31">
        <f>4820</f>
        <v>4820</v>
      </c>
      <c r="P289" s="32" t="s">
        <v>821</v>
      </c>
      <c r="Q289" s="31">
        <f>5130</f>
        <v>5130</v>
      </c>
      <c r="R289" s="32" t="s">
        <v>818</v>
      </c>
      <c r="S289" s="33">
        <f>4984.65</f>
        <v>4984.6499999999996</v>
      </c>
      <c r="T289" s="30">
        <f>574770</f>
        <v>574770</v>
      </c>
      <c r="U289" s="30">
        <f>549000</f>
        <v>549000</v>
      </c>
      <c r="V289" s="30">
        <f>2846760933</f>
        <v>2846760933</v>
      </c>
      <c r="W289" s="30">
        <f>2720368123</f>
        <v>2720368123</v>
      </c>
      <c r="X289" s="34">
        <f>20</f>
        <v>20</v>
      </c>
    </row>
    <row r="290" spans="1:24" x14ac:dyDescent="0.15">
      <c r="A290" s="25" t="s">
        <v>1036</v>
      </c>
      <c r="B290" s="25" t="s">
        <v>949</v>
      </c>
      <c r="C290" s="25" t="s">
        <v>950</v>
      </c>
      <c r="D290" s="25" t="s">
        <v>951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1557</f>
        <v>1557</v>
      </c>
      <c r="L290" s="32" t="s">
        <v>907</v>
      </c>
      <c r="M290" s="31">
        <f>1673.5</f>
        <v>1673.5</v>
      </c>
      <c r="N290" s="32" t="s">
        <v>80</v>
      </c>
      <c r="O290" s="31">
        <f>1533</f>
        <v>1533</v>
      </c>
      <c r="P290" s="32" t="s">
        <v>819</v>
      </c>
      <c r="Q290" s="31">
        <f>1645.5</f>
        <v>1645.5</v>
      </c>
      <c r="R290" s="32" t="s">
        <v>818</v>
      </c>
      <c r="S290" s="33">
        <f>1606.65</f>
        <v>1606.65</v>
      </c>
      <c r="T290" s="30">
        <f>8961110</f>
        <v>8961110</v>
      </c>
      <c r="U290" s="30">
        <f>6270000</f>
        <v>6270000</v>
      </c>
      <c r="V290" s="30">
        <f>14346536236</f>
        <v>14346536236</v>
      </c>
      <c r="W290" s="30">
        <f>10034335431</f>
        <v>10034335431</v>
      </c>
      <c r="X290" s="34">
        <f>20</f>
        <v>20</v>
      </c>
    </row>
    <row r="291" spans="1:24" x14ac:dyDescent="0.15">
      <c r="A291" s="25" t="s">
        <v>1036</v>
      </c>
      <c r="B291" s="25" t="s">
        <v>953</v>
      </c>
      <c r="C291" s="25" t="s">
        <v>954</v>
      </c>
      <c r="D291" s="25" t="s">
        <v>955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1668.5</f>
        <v>1668.5</v>
      </c>
      <c r="L291" s="32" t="s">
        <v>907</v>
      </c>
      <c r="M291" s="31">
        <f>1912</f>
        <v>1912</v>
      </c>
      <c r="N291" s="32" t="s">
        <v>818</v>
      </c>
      <c r="O291" s="31">
        <f>1661.5</f>
        <v>1661.5</v>
      </c>
      <c r="P291" s="32" t="s">
        <v>907</v>
      </c>
      <c r="Q291" s="31">
        <f>1911</f>
        <v>1911</v>
      </c>
      <c r="R291" s="32" t="s">
        <v>818</v>
      </c>
      <c r="S291" s="33">
        <f>1772.9</f>
        <v>1772.9</v>
      </c>
      <c r="T291" s="30">
        <f>1347880</f>
        <v>1347880</v>
      </c>
      <c r="U291" s="30">
        <f>1170000</f>
        <v>1170000</v>
      </c>
      <c r="V291" s="30">
        <f>2317731890</f>
        <v>2317731890</v>
      </c>
      <c r="W291" s="30">
        <f>1996371000</f>
        <v>1996371000</v>
      </c>
      <c r="X291" s="34">
        <f>20</f>
        <v>20</v>
      </c>
    </row>
    <row r="292" spans="1:24" x14ac:dyDescent="0.15">
      <c r="A292" s="25" t="s">
        <v>1036</v>
      </c>
      <c r="B292" s="25" t="s">
        <v>956</v>
      </c>
      <c r="C292" s="25" t="s">
        <v>957</v>
      </c>
      <c r="D292" s="25" t="s">
        <v>958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1508</f>
        <v>1508</v>
      </c>
      <c r="L292" s="32" t="s">
        <v>907</v>
      </c>
      <c r="M292" s="31">
        <f>1599</f>
        <v>1599</v>
      </c>
      <c r="N292" s="32" t="s">
        <v>80</v>
      </c>
      <c r="O292" s="31">
        <f>1503</f>
        <v>1503</v>
      </c>
      <c r="P292" s="32" t="s">
        <v>907</v>
      </c>
      <c r="Q292" s="31">
        <f>1582</f>
        <v>1582</v>
      </c>
      <c r="R292" s="32" t="s">
        <v>818</v>
      </c>
      <c r="S292" s="33">
        <f>1566.8</f>
        <v>1566.8</v>
      </c>
      <c r="T292" s="30">
        <f>2871</f>
        <v>2871</v>
      </c>
      <c r="U292" s="30" t="str">
        <f>"－"</f>
        <v>－</v>
      </c>
      <c r="V292" s="30">
        <f>4417243</f>
        <v>4417243</v>
      </c>
      <c r="W292" s="30" t="str">
        <f>"－"</f>
        <v>－</v>
      </c>
      <c r="X292" s="34">
        <f>20</f>
        <v>20</v>
      </c>
    </row>
    <row r="293" spans="1:24" x14ac:dyDescent="0.15">
      <c r="A293" s="25" t="s">
        <v>1036</v>
      </c>
      <c r="B293" s="25" t="s">
        <v>960</v>
      </c>
      <c r="C293" s="25" t="s">
        <v>961</v>
      </c>
      <c r="D293" s="25" t="s">
        <v>962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1455</f>
        <v>1455</v>
      </c>
      <c r="L293" s="32" t="s">
        <v>907</v>
      </c>
      <c r="M293" s="31">
        <f>1546</f>
        <v>1546</v>
      </c>
      <c r="N293" s="32" t="s">
        <v>80</v>
      </c>
      <c r="O293" s="31">
        <f>1455</f>
        <v>1455</v>
      </c>
      <c r="P293" s="32" t="s">
        <v>907</v>
      </c>
      <c r="Q293" s="31">
        <f>1533</f>
        <v>1533</v>
      </c>
      <c r="R293" s="32" t="s">
        <v>818</v>
      </c>
      <c r="S293" s="33">
        <f>1515.63</f>
        <v>1515.63</v>
      </c>
      <c r="T293" s="30">
        <f>82670</f>
        <v>82670</v>
      </c>
      <c r="U293" s="30" t="str">
        <f>"－"</f>
        <v>－</v>
      </c>
      <c r="V293" s="30">
        <f>123319960</f>
        <v>123319960</v>
      </c>
      <c r="W293" s="30" t="str">
        <f>"－"</f>
        <v>－</v>
      </c>
      <c r="X293" s="34">
        <f>19</f>
        <v>19</v>
      </c>
    </row>
    <row r="294" spans="1:24" x14ac:dyDescent="0.15">
      <c r="A294" s="25" t="s">
        <v>1036</v>
      </c>
      <c r="B294" s="25" t="s">
        <v>963</v>
      </c>
      <c r="C294" s="25" t="s">
        <v>964</v>
      </c>
      <c r="D294" s="25" t="s">
        <v>965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3135</f>
        <v>3135</v>
      </c>
      <c r="L294" s="32" t="s">
        <v>907</v>
      </c>
      <c r="M294" s="31">
        <f>3390</f>
        <v>3390</v>
      </c>
      <c r="N294" s="32" t="s">
        <v>695</v>
      </c>
      <c r="O294" s="31">
        <f>3100</f>
        <v>3100</v>
      </c>
      <c r="P294" s="32" t="s">
        <v>907</v>
      </c>
      <c r="Q294" s="31">
        <f>3165</f>
        <v>3165</v>
      </c>
      <c r="R294" s="32" t="s">
        <v>818</v>
      </c>
      <c r="S294" s="33">
        <f>3188.75</f>
        <v>3188.75</v>
      </c>
      <c r="T294" s="30">
        <f>7160</f>
        <v>7160</v>
      </c>
      <c r="U294" s="30" t="str">
        <f>"－"</f>
        <v>－</v>
      </c>
      <c r="V294" s="30">
        <f>22770090</f>
        <v>22770090</v>
      </c>
      <c r="W294" s="30" t="str">
        <f>"－"</f>
        <v>－</v>
      </c>
      <c r="X294" s="34">
        <f>20</f>
        <v>20</v>
      </c>
    </row>
    <row r="295" spans="1:24" x14ac:dyDescent="0.15">
      <c r="A295" s="25" t="s">
        <v>1036</v>
      </c>
      <c r="B295" s="25" t="s">
        <v>967</v>
      </c>
      <c r="C295" s="25" t="s">
        <v>968</v>
      </c>
      <c r="D295" s="25" t="s">
        <v>969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1880.5</f>
        <v>1880.5</v>
      </c>
      <c r="L295" s="32" t="s">
        <v>907</v>
      </c>
      <c r="M295" s="31">
        <f>2005</f>
        <v>2005</v>
      </c>
      <c r="N295" s="32" t="s">
        <v>818</v>
      </c>
      <c r="O295" s="31">
        <f>1880.5</f>
        <v>1880.5</v>
      </c>
      <c r="P295" s="32" t="s">
        <v>907</v>
      </c>
      <c r="Q295" s="31">
        <f>2005</f>
        <v>2005</v>
      </c>
      <c r="R295" s="32" t="s">
        <v>818</v>
      </c>
      <c r="S295" s="33">
        <f>1962.15</f>
        <v>1962.15</v>
      </c>
      <c r="T295" s="30">
        <f>12950</f>
        <v>12950</v>
      </c>
      <c r="U295" s="30" t="str">
        <f>"－"</f>
        <v>－</v>
      </c>
      <c r="V295" s="30">
        <f>24539325</f>
        <v>24539325</v>
      </c>
      <c r="W295" s="30" t="str">
        <f>"－"</f>
        <v>－</v>
      </c>
      <c r="X295" s="34">
        <f>10</f>
        <v>10</v>
      </c>
    </row>
    <row r="296" spans="1:24" x14ac:dyDescent="0.15">
      <c r="A296" s="25" t="s">
        <v>1036</v>
      </c>
      <c r="B296" s="25" t="s">
        <v>982</v>
      </c>
      <c r="C296" s="25" t="s">
        <v>983</v>
      </c>
      <c r="D296" s="25" t="s">
        <v>984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184.1</f>
        <v>184.1</v>
      </c>
      <c r="L296" s="32" t="s">
        <v>907</v>
      </c>
      <c r="M296" s="31">
        <f>209.1</f>
        <v>209.1</v>
      </c>
      <c r="N296" s="32" t="s">
        <v>812</v>
      </c>
      <c r="O296" s="31">
        <f>184</f>
        <v>184</v>
      </c>
      <c r="P296" s="32" t="s">
        <v>907</v>
      </c>
      <c r="Q296" s="31">
        <f>197.1</f>
        <v>197.1</v>
      </c>
      <c r="R296" s="32" t="s">
        <v>818</v>
      </c>
      <c r="S296" s="33">
        <f>194.99</f>
        <v>194.99</v>
      </c>
      <c r="T296" s="30">
        <f>8370</f>
        <v>8370</v>
      </c>
      <c r="U296" s="30" t="str">
        <f>"－"</f>
        <v>－</v>
      </c>
      <c r="V296" s="30">
        <f>1643326</f>
        <v>1643326</v>
      </c>
      <c r="W296" s="30" t="str">
        <f>"－"</f>
        <v>－</v>
      </c>
      <c r="X296" s="34">
        <f>20</f>
        <v>20</v>
      </c>
    </row>
    <row r="297" spans="1:24" x14ac:dyDescent="0.15">
      <c r="A297" s="25" t="s">
        <v>1036</v>
      </c>
      <c r="B297" s="25" t="s">
        <v>972</v>
      </c>
      <c r="C297" s="25" t="s">
        <v>973</v>
      </c>
      <c r="D297" s="25" t="s">
        <v>974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201</f>
        <v>201</v>
      </c>
      <c r="L297" s="32" t="s">
        <v>907</v>
      </c>
      <c r="M297" s="31">
        <f>203</f>
        <v>203</v>
      </c>
      <c r="N297" s="32" t="s">
        <v>811</v>
      </c>
      <c r="O297" s="31">
        <f>189</f>
        <v>189</v>
      </c>
      <c r="P297" s="32" t="s">
        <v>820</v>
      </c>
      <c r="Q297" s="31">
        <f>199.8</f>
        <v>199.8</v>
      </c>
      <c r="R297" s="32" t="s">
        <v>818</v>
      </c>
      <c r="S297" s="33">
        <f>196.63</f>
        <v>196.63</v>
      </c>
      <c r="T297" s="30">
        <f>2159960</f>
        <v>2159960</v>
      </c>
      <c r="U297" s="30">
        <f>2143810</f>
        <v>2143810</v>
      </c>
      <c r="V297" s="30">
        <f>402982824</f>
        <v>402982824</v>
      </c>
      <c r="W297" s="30">
        <f>399820546</f>
        <v>399820546</v>
      </c>
      <c r="X297" s="34">
        <f>20</f>
        <v>20</v>
      </c>
    </row>
    <row r="298" spans="1:24" x14ac:dyDescent="0.15">
      <c r="A298" s="25" t="s">
        <v>1036</v>
      </c>
      <c r="B298" s="25" t="s">
        <v>976</v>
      </c>
      <c r="C298" s="25" t="s">
        <v>977</v>
      </c>
      <c r="D298" s="25" t="s">
        <v>978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10</v>
      </c>
      <c r="K298" s="31">
        <f>727.2</f>
        <v>727.2</v>
      </c>
      <c r="L298" s="32" t="s">
        <v>907</v>
      </c>
      <c r="M298" s="31">
        <f>730</f>
        <v>730</v>
      </c>
      <c r="N298" s="32" t="s">
        <v>94</v>
      </c>
      <c r="O298" s="31">
        <f>703.4</f>
        <v>703.4</v>
      </c>
      <c r="P298" s="32" t="s">
        <v>820</v>
      </c>
      <c r="Q298" s="31">
        <f>727.3</f>
        <v>727.3</v>
      </c>
      <c r="R298" s="32" t="s">
        <v>818</v>
      </c>
      <c r="S298" s="33">
        <f>715.48</f>
        <v>715.48</v>
      </c>
      <c r="T298" s="30">
        <f>52740</f>
        <v>52740</v>
      </c>
      <c r="U298" s="30">
        <f>50720</f>
        <v>50720</v>
      </c>
      <c r="V298" s="30">
        <f>37205639</f>
        <v>37205639</v>
      </c>
      <c r="W298" s="30">
        <f>35754822</f>
        <v>35754822</v>
      </c>
      <c r="X298" s="34">
        <f>16</f>
        <v>16</v>
      </c>
    </row>
    <row r="299" spans="1:24" x14ac:dyDescent="0.15">
      <c r="A299" s="25" t="s">
        <v>1036</v>
      </c>
      <c r="B299" s="25" t="s">
        <v>986</v>
      </c>
      <c r="C299" s="25" t="s">
        <v>987</v>
      </c>
      <c r="D299" s="25" t="s">
        <v>988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968</f>
        <v>968</v>
      </c>
      <c r="L299" s="32" t="s">
        <v>907</v>
      </c>
      <c r="M299" s="31">
        <f>1046</f>
        <v>1046</v>
      </c>
      <c r="N299" s="32" t="s">
        <v>80</v>
      </c>
      <c r="O299" s="31">
        <f>968</f>
        <v>968</v>
      </c>
      <c r="P299" s="32" t="s">
        <v>907</v>
      </c>
      <c r="Q299" s="31">
        <f>1037</f>
        <v>1037</v>
      </c>
      <c r="R299" s="32" t="s">
        <v>818</v>
      </c>
      <c r="S299" s="33">
        <f>1014.55</f>
        <v>1014.55</v>
      </c>
      <c r="T299" s="30">
        <f>74505</f>
        <v>74505</v>
      </c>
      <c r="U299" s="30" t="str">
        <f>"－"</f>
        <v>－</v>
      </c>
      <c r="V299" s="30">
        <f>75801331</f>
        <v>75801331</v>
      </c>
      <c r="W299" s="30" t="str">
        <f>"－"</f>
        <v>－</v>
      </c>
      <c r="X299" s="34">
        <f>20</f>
        <v>20</v>
      </c>
    </row>
    <row r="300" spans="1:24" x14ac:dyDescent="0.15">
      <c r="A300" s="25" t="s">
        <v>1036</v>
      </c>
      <c r="B300" s="25" t="s">
        <v>990</v>
      </c>
      <c r="C300" s="25" t="s">
        <v>991</v>
      </c>
      <c r="D300" s="25" t="s">
        <v>992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1026</f>
        <v>1026</v>
      </c>
      <c r="L300" s="32" t="s">
        <v>907</v>
      </c>
      <c r="M300" s="31">
        <f>1043</f>
        <v>1043</v>
      </c>
      <c r="N300" s="32" t="s">
        <v>810</v>
      </c>
      <c r="O300" s="31">
        <f>962</f>
        <v>962</v>
      </c>
      <c r="P300" s="32" t="s">
        <v>66</v>
      </c>
      <c r="Q300" s="31">
        <f>1030</f>
        <v>1030</v>
      </c>
      <c r="R300" s="32" t="s">
        <v>818</v>
      </c>
      <c r="S300" s="33">
        <f>1002.8</f>
        <v>1002.8</v>
      </c>
      <c r="T300" s="30">
        <f>452805</f>
        <v>452805</v>
      </c>
      <c r="U300" s="30">
        <f>80000</f>
        <v>80000</v>
      </c>
      <c r="V300" s="30">
        <f>450502052</f>
        <v>450502052</v>
      </c>
      <c r="W300" s="30">
        <f>79470000</f>
        <v>79470000</v>
      </c>
      <c r="X300" s="34">
        <f>20</f>
        <v>20</v>
      </c>
    </row>
    <row r="301" spans="1:24" x14ac:dyDescent="0.15">
      <c r="A301" s="25" t="s">
        <v>1036</v>
      </c>
      <c r="B301" s="25" t="s">
        <v>995</v>
      </c>
      <c r="C301" s="25" t="s">
        <v>996</v>
      </c>
      <c r="D301" s="25" t="s">
        <v>997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798.4</f>
        <v>798.4</v>
      </c>
      <c r="L301" s="32" t="s">
        <v>907</v>
      </c>
      <c r="M301" s="31">
        <f>798.4</f>
        <v>798.4</v>
      </c>
      <c r="N301" s="32" t="s">
        <v>907</v>
      </c>
      <c r="O301" s="31">
        <f>740.6</f>
        <v>740.6</v>
      </c>
      <c r="P301" s="32" t="s">
        <v>66</v>
      </c>
      <c r="Q301" s="31">
        <f>750.6</f>
        <v>750.6</v>
      </c>
      <c r="R301" s="32" t="s">
        <v>818</v>
      </c>
      <c r="S301" s="33">
        <f>752.06</f>
        <v>752.06</v>
      </c>
      <c r="T301" s="30">
        <f>2224480</f>
        <v>2224480</v>
      </c>
      <c r="U301" s="30">
        <f>1992380</f>
        <v>1992380</v>
      </c>
      <c r="V301" s="30">
        <f>1674159465</f>
        <v>1674159465</v>
      </c>
      <c r="W301" s="30">
        <f>1499582210</f>
        <v>1499582210</v>
      </c>
      <c r="X301" s="34">
        <f>20</f>
        <v>20</v>
      </c>
    </row>
    <row r="302" spans="1:24" x14ac:dyDescent="0.15">
      <c r="A302" s="25" t="s">
        <v>1036</v>
      </c>
      <c r="B302" s="25" t="s">
        <v>999</v>
      </c>
      <c r="C302" s="25" t="s">
        <v>1000</v>
      </c>
      <c r="D302" s="25" t="s">
        <v>1001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741</f>
        <v>741</v>
      </c>
      <c r="L302" s="32" t="s">
        <v>907</v>
      </c>
      <c r="M302" s="31">
        <f>771.2</f>
        <v>771.2</v>
      </c>
      <c r="N302" s="32" t="s">
        <v>810</v>
      </c>
      <c r="O302" s="31">
        <f>720</f>
        <v>720</v>
      </c>
      <c r="P302" s="32" t="s">
        <v>66</v>
      </c>
      <c r="Q302" s="31">
        <f>740.1</f>
        <v>740.1</v>
      </c>
      <c r="R302" s="32" t="s">
        <v>818</v>
      </c>
      <c r="S302" s="33">
        <f>735.67</f>
        <v>735.67</v>
      </c>
      <c r="T302" s="30">
        <f>2344380</f>
        <v>2344380</v>
      </c>
      <c r="U302" s="30">
        <f>2072090</f>
        <v>2072090</v>
      </c>
      <c r="V302" s="30">
        <f>1731709558</f>
        <v>1731709558</v>
      </c>
      <c r="W302" s="30">
        <f>1530764250</f>
        <v>1530764250</v>
      </c>
      <c r="X302" s="34">
        <f>19</f>
        <v>19</v>
      </c>
    </row>
    <row r="303" spans="1:24" x14ac:dyDescent="0.15">
      <c r="A303" s="25" t="s">
        <v>1036</v>
      </c>
      <c r="B303" s="25" t="s">
        <v>1002</v>
      </c>
      <c r="C303" s="25" t="s">
        <v>1003</v>
      </c>
      <c r="D303" s="25" t="s">
        <v>1004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950</f>
        <v>950</v>
      </c>
      <c r="L303" s="32" t="s">
        <v>907</v>
      </c>
      <c r="M303" s="31">
        <f>1008</f>
        <v>1008</v>
      </c>
      <c r="N303" s="32" t="s">
        <v>80</v>
      </c>
      <c r="O303" s="31">
        <f>946</f>
        <v>946</v>
      </c>
      <c r="P303" s="32" t="s">
        <v>907</v>
      </c>
      <c r="Q303" s="31">
        <f>1008</f>
        <v>1008</v>
      </c>
      <c r="R303" s="32" t="s">
        <v>818</v>
      </c>
      <c r="S303" s="33">
        <f>995.9</f>
        <v>995.9</v>
      </c>
      <c r="T303" s="30">
        <f>100155</f>
        <v>100155</v>
      </c>
      <c r="U303" s="30" t="str">
        <f>"－"</f>
        <v>－</v>
      </c>
      <c r="V303" s="30">
        <f>98416714</f>
        <v>98416714</v>
      </c>
      <c r="W303" s="30" t="str">
        <f>"－"</f>
        <v>－</v>
      </c>
      <c r="X303" s="34">
        <f>20</f>
        <v>20</v>
      </c>
    </row>
    <row r="304" spans="1:24" x14ac:dyDescent="0.15">
      <c r="A304" s="25" t="s">
        <v>1036</v>
      </c>
      <c r="B304" s="25" t="s">
        <v>1015</v>
      </c>
      <c r="C304" s="25" t="s">
        <v>1016</v>
      </c>
      <c r="D304" s="25" t="s">
        <v>1017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1822.5</f>
        <v>1822.5</v>
      </c>
      <c r="L304" s="32" t="s">
        <v>907</v>
      </c>
      <c r="M304" s="31">
        <f>2031</f>
        <v>2031</v>
      </c>
      <c r="N304" s="32" t="s">
        <v>818</v>
      </c>
      <c r="O304" s="31">
        <f>1811.5</f>
        <v>1811.5</v>
      </c>
      <c r="P304" s="32" t="s">
        <v>907</v>
      </c>
      <c r="Q304" s="31">
        <f>2027.5</f>
        <v>2027.5</v>
      </c>
      <c r="R304" s="32" t="s">
        <v>818</v>
      </c>
      <c r="S304" s="33">
        <f>1918.75</f>
        <v>1918.75</v>
      </c>
      <c r="T304" s="30">
        <f>6350</f>
        <v>6350</v>
      </c>
      <c r="U304" s="30" t="str">
        <f>"－"</f>
        <v>－</v>
      </c>
      <c r="V304" s="30">
        <f>11999240</f>
        <v>11999240</v>
      </c>
      <c r="W304" s="30" t="str">
        <f>"－"</f>
        <v>－</v>
      </c>
      <c r="X304" s="34">
        <f>16</f>
        <v>16</v>
      </c>
    </row>
    <row r="305" spans="1:24" x14ac:dyDescent="0.15">
      <c r="A305" s="25" t="s">
        <v>1036</v>
      </c>
      <c r="B305" s="25" t="s">
        <v>1019</v>
      </c>
      <c r="C305" s="25" t="s">
        <v>1020</v>
      </c>
      <c r="D305" s="25" t="s">
        <v>1021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1809</f>
        <v>1809</v>
      </c>
      <c r="L305" s="32" t="s">
        <v>907</v>
      </c>
      <c r="M305" s="31">
        <f>2045.5</f>
        <v>2045.5</v>
      </c>
      <c r="N305" s="32" t="s">
        <v>818</v>
      </c>
      <c r="O305" s="31">
        <f>1809</f>
        <v>1809</v>
      </c>
      <c r="P305" s="32" t="s">
        <v>907</v>
      </c>
      <c r="Q305" s="31">
        <f>2040.5</f>
        <v>2040.5</v>
      </c>
      <c r="R305" s="32" t="s">
        <v>818</v>
      </c>
      <c r="S305" s="33">
        <f>1933.67</f>
        <v>1933.67</v>
      </c>
      <c r="T305" s="30">
        <f>13160</f>
        <v>13160</v>
      </c>
      <c r="U305" s="30" t="str">
        <f>"－"</f>
        <v>－</v>
      </c>
      <c r="V305" s="30">
        <f>25694840</f>
        <v>25694840</v>
      </c>
      <c r="W305" s="30" t="str">
        <f>"－"</f>
        <v>－</v>
      </c>
      <c r="X305" s="34">
        <f>18</f>
        <v>18</v>
      </c>
    </row>
    <row r="306" spans="1:24" x14ac:dyDescent="0.15">
      <c r="A306" s="25" t="s">
        <v>1036</v>
      </c>
      <c r="B306" s="25" t="s">
        <v>1007</v>
      </c>
      <c r="C306" s="25" t="s">
        <v>1008</v>
      </c>
      <c r="D306" s="25" t="s">
        <v>1009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4842</f>
        <v>4842</v>
      </c>
      <c r="L306" s="32" t="s">
        <v>811</v>
      </c>
      <c r="M306" s="31">
        <f>5000</f>
        <v>5000</v>
      </c>
      <c r="N306" s="32" t="s">
        <v>94</v>
      </c>
      <c r="O306" s="31">
        <f>4685</f>
        <v>4685</v>
      </c>
      <c r="P306" s="32" t="s">
        <v>821</v>
      </c>
      <c r="Q306" s="31">
        <f>4975</f>
        <v>4975</v>
      </c>
      <c r="R306" s="32" t="s">
        <v>818</v>
      </c>
      <c r="S306" s="33">
        <f>4854.27</f>
        <v>4854.2700000000004</v>
      </c>
      <c r="T306" s="30">
        <f>33130</f>
        <v>33130</v>
      </c>
      <c r="U306" s="30">
        <f>32230</f>
        <v>32230</v>
      </c>
      <c r="V306" s="30">
        <f>161457317</f>
        <v>161457317</v>
      </c>
      <c r="W306" s="30">
        <f>157118027</f>
        <v>157118027</v>
      </c>
      <c r="X306" s="34">
        <f>11</f>
        <v>11</v>
      </c>
    </row>
    <row r="307" spans="1:24" x14ac:dyDescent="0.15">
      <c r="A307" s="25" t="s">
        <v>1036</v>
      </c>
      <c r="B307" s="25" t="s">
        <v>1011</v>
      </c>
      <c r="C307" s="25" t="s">
        <v>1012</v>
      </c>
      <c r="D307" s="25" t="s">
        <v>1013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4519</f>
        <v>4519</v>
      </c>
      <c r="L307" s="32" t="s">
        <v>907</v>
      </c>
      <c r="M307" s="31">
        <f>4631</f>
        <v>4631</v>
      </c>
      <c r="N307" s="32" t="s">
        <v>811</v>
      </c>
      <c r="O307" s="31">
        <f>4458</f>
        <v>4458</v>
      </c>
      <c r="P307" s="32" t="s">
        <v>813</v>
      </c>
      <c r="Q307" s="31">
        <f>4473</f>
        <v>4473</v>
      </c>
      <c r="R307" s="32" t="s">
        <v>820</v>
      </c>
      <c r="S307" s="33">
        <f>4538.6</f>
        <v>4538.6000000000004</v>
      </c>
      <c r="T307" s="30">
        <f>150</f>
        <v>150</v>
      </c>
      <c r="U307" s="30" t="str">
        <f>"－"</f>
        <v>－</v>
      </c>
      <c r="V307" s="30">
        <f>673340</f>
        <v>673340</v>
      </c>
      <c r="W307" s="30" t="str">
        <f>"－"</f>
        <v>－</v>
      </c>
      <c r="X307" s="34">
        <f>5</f>
        <v>5</v>
      </c>
    </row>
    <row r="308" spans="1:24" x14ac:dyDescent="0.15">
      <c r="A308" s="25" t="s">
        <v>1036</v>
      </c>
      <c r="B308" s="25" t="s">
        <v>1022</v>
      </c>
      <c r="C308" s="25" t="s">
        <v>1023</v>
      </c>
      <c r="D308" s="25" t="s">
        <v>1024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1871</f>
        <v>1871</v>
      </c>
      <c r="L308" s="32" t="s">
        <v>907</v>
      </c>
      <c r="M308" s="31">
        <f>1950</f>
        <v>1950</v>
      </c>
      <c r="N308" s="32" t="s">
        <v>70</v>
      </c>
      <c r="O308" s="31">
        <f>1860.5</f>
        <v>1860.5</v>
      </c>
      <c r="P308" s="32" t="s">
        <v>66</v>
      </c>
      <c r="Q308" s="31">
        <f>1920</f>
        <v>1920</v>
      </c>
      <c r="R308" s="32" t="s">
        <v>818</v>
      </c>
      <c r="S308" s="33">
        <f>1903.75</f>
        <v>1903.75</v>
      </c>
      <c r="T308" s="30">
        <f>62980</f>
        <v>62980</v>
      </c>
      <c r="U308" s="30" t="str">
        <f>"－"</f>
        <v>－</v>
      </c>
      <c r="V308" s="30">
        <f>118956545</f>
        <v>118956545</v>
      </c>
      <c r="W308" s="30" t="str">
        <f>"－"</f>
        <v>－</v>
      </c>
      <c r="X308" s="34">
        <f>16</f>
        <v>16</v>
      </c>
    </row>
    <row r="309" spans="1:24" x14ac:dyDescent="0.15">
      <c r="A309" s="25" t="s">
        <v>1036</v>
      </c>
      <c r="B309" s="25" t="s">
        <v>1026</v>
      </c>
      <c r="C309" s="25" t="s">
        <v>1027</v>
      </c>
      <c r="D309" s="25" t="s">
        <v>1028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997</f>
        <v>997</v>
      </c>
      <c r="L309" s="32" t="s">
        <v>907</v>
      </c>
      <c r="M309" s="31">
        <f>1088</f>
        <v>1088</v>
      </c>
      <c r="N309" s="32" t="s">
        <v>818</v>
      </c>
      <c r="O309" s="31">
        <f>964</f>
        <v>964</v>
      </c>
      <c r="P309" s="32" t="s">
        <v>821</v>
      </c>
      <c r="Q309" s="31">
        <f>1085</f>
        <v>1085</v>
      </c>
      <c r="R309" s="32" t="s">
        <v>818</v>
      </c>
      <c r="S309" s="33">
        <f>1021.5</f>
        <v>1021.5</v>
      </c>
      <c r="T309" s="30">
        <f>64242</f>
        <v>64242</v>
      </c>
      <c r="U309" s="30" t="str">
        <f>"－"</f>
        <v>－</v>
      </c>
      <c r="V309" s="30">
        <f>67695646</f>
        <v>67695646</v>
      </c>
      <c r="W309" s="30" t="str">
        <f>"－"</f>
        <v>－</v>
      </c>
      <c r="X309" s="34">
        <f>20</f>
        <v>20</v>
      </c>
    </row>
    <row r="310" spans="1:24" x14ac:dyDescent="0.15">
      <c r="A310" s="25" t="s">
        <v>1036</v>
      </c>
      <c r="B310" s="25" t="s">
        <v>1030</v>
      </c>
      <c r="C310" s="25" t="s">
        <v>1031</v>
      </c>
      <c r="D310" s="25" t="s">
        <v>1032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988</f>
        <v>988</v>
      </c>
      <c r="L310" s="32" t="s">
        <v>907</v>
      </c>
      <c r="M310" s="31">
        <f>1050</f>
        <v>1050</v>
      </c>
      <c r="N310" s="32" t="s">
        <v>816</v>
      </c>
      <c r="O310" s="31">
        <f>960</f>
        <v>960</v>
      </c>
      <c r="P310" s="32" t="s">
        <v>907</v>
      </c>
      <c r="Q310" s="31">
        <f>1036</f>
        <v>1036</v>
      </c>
      <c r="R310" s="32" t="s">
        <v>818</v>
      </c>
      <c r="S310" s="33">
        <f>1010.2</f>
        <v>1010.2</v>
      </c>
      <c r="T310" s="30">
        <f>1435588</f>
        <v>1435588</v>
      </c>
      <c r="U310" s="30" t="str">
        <f>"－"</f>
        <v>－</v>
      </c>
      <c r="V310" s="30">
        <f>1462677877</f>
        <v>1462677877</v>
      </c>
      <c r="W310" s="30" t="str">
        <f>"－"</f>
        <v>－</v>
      </c>
      <c r="X310" s="34">
        <f>20</f>
        <v>20</v>
      </c>
    </row>
    <row r="311" spans="1:24" x14ac:dyDescent="0.15">
      <c r="A311" s="25" t="s">
        <v>1036</v>
      </c>
      <c r="B311" s="25" t="s">
        <v>1033</v>
      </c>
      <c r="C311" s="25" t="s">
        <v>1034</v>
      </c>
      <c r="D311" s="25" t="s">
        <v>1035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998</f>
        <v>998</v>
      </c>
      <c r="L311" s="32" t="s">
        <v>907</v>
      </c>
      <c r="M311" s="31">
        <f>1021</f>
        <v>1021</v>
      </c>
      <c r="N311" s="32" t="s">
        <v>811</v>
      </c>
      <c r="O311" s="31">
        <f>955</f>
        <v>955</v>
      </c>
      <c r="P311" s="32" t="s">
        <v>820</v>
      </c>
      <c r="Q311" s="31">
        <f>979</f>
        <v>979</v>
      </c>
      <c r="R311" s="32" t="s">
        <v>818</v>
      </c>
      <c r="S311" s="33">
        <f>983.75</f>
        <v>983.75</v>
      </c>
      <c r="T311" s="30">
        <f>347708</f>
        <v>347708</v>
      </c>
      <c r="U311" s="30">
        <f>50</f>
        <v>50</v>
      </c>
      <c r="V311" s="30">
        <f>342435879</f>
        <v>342435879</v>
      </c>
      <c r="W311" s="30">
        <f>53420</f>
        <v>53420</v>
      </c>
      <c r="X311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3703-853B-4329-9D3D-5A967C2A5867}">
  <sheetPr>
    <pageSetUpPr fitToPage="1"/>
  </sheetPr>
  <dimension ref="A1:X309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1014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2027</f>
        <v>2027</v>
      </c>
      <c r="L7" s="32" t="s">
        <v>904</v>
      </c>
      <c r="M7" s="31">
        <f>2072</f>
        <v>2072</v>
      </c>
      <c r="N7" s="32" t="s">
        <v>56</v>
      </c>
      <c r="O7" s="31">
        <f>1915</f>
        <v>1915</v>
      </c>
      <c r="P7" s="32" t="s">
        <v>94</v>
      </c>
      <c r="Q7" s="31">
        <f>1932.5</f>
        <v>1932.5</v>
      </c>
      <c r="R7" s="32" t="s">
        <v>934</v>
      </c>
      <c r="S7" s="33">
        <f>2007.9</f>
        <v>2007.9</v>
      </c>
      <c r="T7" s="30">
        <f>17966450</f>
        <v>17966450</v>
      </c>
      <c r="U7" s="30">
        <f>14538420</f>
        <v>14538420</v>
      </c>
      <c r="V7" s="30">
        <f>36227288451</f>
        <v>36227288451</v>
      </c>
      <c r="W7" s="30">
        <f>29388867601</f>
        <v>29388867601</v>
      </c>
      <c r="X7" s="34">
        <f>20</f>
        <v>20</v>
      </c>
    </row>
    <row r="8" spans="1:24" x14ac:dyDescent="0.15">
      <c r="A8" s="25" t="s">
        <v>1014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2005</f>
        <v>2005</v>
      </c>
      <c r="L8" s="32" t="s">
        <v>904</v>
      </c>
      <c r="M8" s="31">
        <f>2049.5</f>
        <v>2049.5</v>
      </c>
      <c r="N8" s="32" t="s">
        <v>56</v>
      </c>
      <c r="O8" s="31">
        <f>1894</f>
        <v>1894</v>
      </c>
      <c r="P8" s="32" t="s">
        <v>94</v>
      </c>
      <c r="Q8" s="31">
        <f>1911.5</f>
        <v>1911.5</v>
      </c>
      <c r="R8" s="32" t="s">
        <v>934</v>
      </c>
      <c r="S8" s="33">
        <f>1984.78</f>
        <v>1984.78</v>
      </c>
      <c r="T8" s="30">
        <f>61322490</f>
        <v>61322490</v>
      </c>
      <c r="U8" s="30">
        <f>13638290</f>
        <v>13638290</v>
      </c>
      <c r="V8" s="30">
        <f>121089648893</f>
        <v>121089648893</v>
      </c>
      <c r="W8" s="30">
        <f>27037142078</f>
        <v>27037142078</v>
      </c>
      <c r="X8" s="34">
        <f>20</f>
        <v>20</v>
      </c>
    </row>
    <row r="9" spans="1:24" x14ac:dyDescent="0.15">
      <c r="A9" s="25" t="s">
        <v>1014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1982</f>
        <v>1982</v>
      </c>
      <c r="L9" s="32" t="s">
        <v>904</v>
      </c>
      <c r="M9" s="31">
        <f>2025.5</f>
        <v>2025.5</v>
      </c>
      <c r="N9" s="32" t="s">
        <v>56</v>
      </c>
      <c r="O9" s="31">
        <f>1872</f>
        <v>1872</v>
      </c>
      <c r="P9" s="32" t="s">
        <v>94</v>
      </c>
      <c r="Q9" s="31">
        <f>1889.5</f>
        <v>1889.5</v>
      </c>
      <c r="R9" s="32" t="s">
        <v>934</v>
      </c>
      <c r="S9" s="33">
        <f>1961.4</f>
        <v>1961.4</v>
      </c>
      <c r="T9" s="30">
        <f>8590500</f>
        <v>8590500</v>
      </c>
      <c r="U9" s="30">
        <f>2255700</f>
        <v>2255700</v>
      </c>
      <c r="V9" s="30">
        <f>16939686290</f>
        <v>16939686290</v>
      </c>
      <c r="W9" s="30">
        <f>4442665340</f>
        <v>4442665340</v>
      </c>
      <c r="X9" s="34">
        <f>20</f>
        <v>20</v>
      </c>
    </row>
    <row r="10" spans="1:24" x14ac:dyDescent="0.15">
      <c r="A10" s="25" t="s">
        <v>1014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42590</f>
        <v>42590</v>
      </c>
      <c r="L10" s="32" t="s">
        <v>904</v>
      </c>
      <c r="M10" s="31">
        <f>43450</f>
        <v>43450</v>
      </c>
      <c r="N10" s="32" t="s">
        <v>56</v>
      </c>
      <c r="O10" s="31">
        <f>40000</f>
        <v>40000</v>
      </c>
      <c r="P10" s="32" t="s">
        <v>94</v>
      </c>
      <c r="Q10" s="31">
        <f>40600</f>
        <v>40600</v>
      </c>
      <c r="R10" s="32" t="s">
        <v>934</v>
      </c>
      <c r="S10" s="33">
        <f>41961</f>
        <v>41961</v>
      </c>
      <c r="T10" s="30">
        <f>3380</f>
        <v>3380</v>
      </c>
      <c r="U10" s="30" t="str">
        <f>"－"</f>
        <v>－</v>
      </c>
      <c r="V10" s="30">
        <f>142097560</f>
        <v>142097560</v>
      </c>
      <c r="W10" s="30" t="str">
        <f>"－"</f>
        <v>－</v>
      </c>
      <c r="X10" s="34">
        <f>20</f>
        <v>20</v>
      </c>
    </row>
    <row r="11" spans="1:24" x14ac:dyDescent="0.15">
      <c r="A11" s="25" t="s">
        <v>1014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930.9</f>
        <v>930.9</v>
      </c>
      <c r="L11" s="32" t="s">
        <v>904</v>
      </c>
      <c r="M11" s="31">
        <f>951.7</f>
        <v>951.7</v>
      </c>
      <c r="N11" s="32" t="s">
        <v>56</v>
      </c>
      <c r="O11" s="31">
        <f>870</f>
        <v>870</v>
      </c>
      <c r="P11" s="32" t="s">
        <v>94</v>
      </c>
      <c r="Q11" s="31">
        <f>872.5</f>
        <v>872.5</v>
      </c>
      <c r="R11" s="32" t="s">
        <v>934</v>
      </c>
      <c r="S11" s="33">
        <f>915.33</f>
        <v>915.33</v>
      </c>
      <c r="T11" s="30">
        <f>100510</f>
        <v>100510</v>
      </c>
      <c r="U11" s="30" t="str">
        <f>"－"</f>
        <v>－</v>
      </c>
      <c r="V11" s="30">
        <f>92498787</f>
        <v>92498787</v>
      </c>
      <c r="W11" s="30" t="str">
        <f>"－"</f>
        <v>－</v>
      </c>
      <c r="X11" s="34">
        <f>20</f>
        <v>20</v>
      </c>
    </row>
    <row r="12" spans="1:24" x14ac:dyDescent="0.15">
      <c r="A12" s="25" t="s">
        <v>1014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19925</f>
        <v>19925</v>
      </c>
      <c r="L12" s="32" t="s">
        <v>904</v>
      </c>
      <c r="M12" s="31">
        <f>20375</f>
        <v>20375</v>
      </c>
      <c r="N12" s="32" t="s">
        <v>813</v>
      </c>
      <c r="O12" s="31">
        <f>19180</f>
        <v>19180</v>
      </c>
      <c r="P12" s="32" t="s">
        <v>94</v>
      </c>
      <c r="Q12" s="31">
        <f>19720</f>
        <v>19720</v>
      </c>
      <c r="R12" s="32" t="s">
        <v>934</v>
      </c>
      <c r="S12" s="33">
        <f>19787</f>
        <v>19787</v>
      </c>
      <c r="T12" s="30">
        <f>610</f>
        <v>610</v>
      </c>
      <c r="U12" s="30" t="str">
        <f>"－"</f>
        <v>－</v>
      </c>
      <c r="V12" s="30">
        <f>12063380</f>
        <v>12063380</v>
      </c>
      <c r="W12" s="30" t="str">
        <f>"－"</f>
        <v>－</v>
      </c>
      <c r="X12" s="34">
        <f>20</f>
        <v>20</v>
      </c>
    </row>
    <row r="13" spans="1:24" x14ac:dyDescent="0.15">
      <c r="A13" s="25" t="s">
        <v>1014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3310</f>
        <v>3310</v>
      </c>
      <c r="L13" s="32" t="s">
        <v>904</v>
      </c>
      <c r="M13" s="31">
        <f>3355</f>
        <v>3355</v>
      </c>
      <c r="N13" s="32" t="s">
        <v>813</v>
      </c>
      <c r="O13" s="31">
        <f>2868</f>
        <v>2868</v>
      </c>
      <c r="P13" s="32" t="s">
        <v>936</v>
      </c>
      <c r="Q13" s="31">
        <f>2868</f>
        <v>2868</v>
      </c>
      <c r="R13" s="32" t="s">
        <v>936</v>
      </c>
      <c r="S13" s="33">
        <f>3160.88</f>
        <v>3160.88</v>
      </c>
      <c r="T13" s="30">
        <f>2830</f>
        <v>2830</v>
      </c>
      <c r="U13" s="30" t="str">
        <f>"－"</f>
        <v>－</v>
      </c>
      <c r="V13" s="30">
        <f>8920440</f>
        <v>8920440</v>
      </c>
      <c r="W13" s="30" t="str">
        <f>"－"</f>
        <v>－</v>
      </c>
      <c r="X13" s="34">
        <f>16</f>
        <v>16</v>
      </c>
    </row>
    <row r="14" spans="1:24" x14ac:dyDescent="0.15">
      <c r="A14" s="25" t="s">
        <v>1014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345.2</f>
        <v>345.2</v>
      </c>
      <c r="L14" s="32" t="s">
        <v>904</v>
      </c>
      <c r="M14" s="31">
        <f>357.9</f>
        <v>357.9</v>
      </c>
      <c r="N14" s="32" t="s">
        <v>813</v>
      </c>
      <c r="O14" s="31">
        <f>339</f>
        <v>339</v>
      </c>
      <c r="P14" s="32" t="s">
        <v>934</v>
      </c>
      <c r="Q14" s="31">
        <f>342.1</f>
        <v>342.1</v>
      </c>
      <c r="R14" s="32" t="s">
        <v>934</v>
      </c>
      <c r="S14" s="33">
        <f>349.97</f>
        <v>349.97</v>
      </c>
      <c r="T14" s="30">
        <f>85000</f>
        <v>85000</v>
      </c>
      <c r="U14" s="30">
        <f>2000</f>
        <v>2000</v>
      </c>
      <c r="V14" s="30">
        <f>29690700</f>
        <v>29690700</v>
      </c>
      <c r="W14" s="30">
        <f>700200</f>
        <v>700200</v>
      </c>
      <c r="X14" s="34">
        <f>12</f>
        <v>12</v>
      </c>
    </row>
    <row r="15" spans="1:24" x14ac:dyDescent="0.15">
      <c r="A15" s="25" t="s">
        <v>1014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28410</f>
        <v>28410</v>
      </c>
      <c r="L15" s="32" t="s">
        <v>904</v>
      </c>
      <c r="M15" s="31">
        <f>29280</f>
        <v>29280</v>
      </c>
      <c r="N15" s="32" t="s">
        <v>56</v>
      </c>
      <c r="O15" s="31">
        <f>26525</f>
        <v>26525</v>
      </c>
      <c r="P15" s="32" t="s">
        <v>94</v>
      </c>
      <c r="Q15" s="31">
        <f>26675</f>
        <v>26675</v>
      </c>
      <c r="R15" s="32" t="s">
        <v>934</v>
      </c>
      <c r="S15" s="33">
        <f>28046.5</f>
        <v>28046.5</v>
      </c>
      <c r="T15" s="30">
        <f>1345008</f>
        <v>1345008</v>
      </c>
      <c r="U15" s="30">
        <f>113949</f>
        <v>113949</v>
      </c>
      <c r="V15" s="30">
        <f>37397590310</f>
        <v>37397590310</v>
      </c>
      <c r="W15" s="30">
        <f>3173421490</f>
        <v>3173421490</v>
      </c>
      <c r="X15" s="34">
        <f>20</f>
        <v>20</v>
      </c>
    </row>
    <row r="16" spans="1:24" x14ac:dyDescent="0.15">
      <c r="A16" s="25" t="s">
        <v>1014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28495</f>
        <v>28495</v>
      </c>
      <c r="L16" s="32" t="s">
        <v>904</v>
      </c>
      <c r="M16" s="31">
        <f>29375</f>
        <v>29375</v>
      </c>
      <c r="N16" s="32" t="s">
        <v>56</v>
      </c>
      <c r="O16" s="31">
        <f>26590</f>
        <v>26590</v>
      </c>
      <c r="P16" s="32" t="s">
        <v>94</v>
      </c>
      <c r="Q16" s="31">
        <f>26730</f>
        <v>26730</v>
      </c>
      <c r="R16" s="32" t="s">
        <v>934</v>
      </c>
      <c r="S16" s="33">
        <f>28120</f>
        <v>28120</v>
      </c>
      <c r="T16" s="30">
        <f>6538538</f>
        <v>6538538</v>
      </c>
      <c r="U16" s="30">
        <f>396302</f>
        <v>396302</v>
      </c>
      <c r="V16" s="30">
        <f>180559166428</f>
        <v>180559166428</v>
      </c>
      <c r="W16" s="30">
        <f>11009321483</f>
        <v>11009321483</v>
      </c>
      <c r="X16" s="34">
        <f>20</f>
        <v>20</v>
      </c>
    </row>
    <row r="17" spans="1:24" x14ac:dyDescent="0.15">
      <c r="A17" s="25" t="s">
        <v>1014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8100</f>
        <v>8100</v>
      </c>
      <c r="L17" s="32" t="s">
        <v>904</v>
      </c>
      <c r="M17" s="31">
        <f>8439</f>
        <v>8439</v>
      </c>
      <c r="N17" s="32" t="s">
        <v>695</v>
      </c>
      <c r="O17" s="31">
        <f>7525</f>
        <v>7525</v>
      </c>
      <c r="P17" s="32" t="s">
        <v>94</v>
      </c>
      <c r="Q17" s="31">
        <f>7770</f>
        <v>7770</v>
      </c>
      <c r="R17" s="32" t="s">
        <v>934</v>
      </c>
      <c r="S17" s="33">
        <f>8048.05</f>
        <v>8048.05</v>
      </c>
      <c r="T17" s="30">
        <f>9270</f>
        <v>9270</v>
      </c>
      <c r="U17" s="30" t="str">
        <f>"－"</f>
        <v>－</v>
      </c>
      <c r="V17" s="30">
        <f>75373080</f>
        <v>75373080</v>
      </c>
      <c r="W17" s="30" t="str">
        <f>"－"</f>
        <v>－</v>
      </c>
      <c r="X17" s="34">
        <f>19</f>
        <v>19</v>
      </c>
    </row>
    <row r="18" spans="1:24" x14ac:dyDescent="0.15">
      <c r="A18" s="25" t="s">
        <v>1014</v>
      </c>
      <c r="B18" s="25" t="s">
        <v>84</v>
      </c>
      <c r="C18" s="25" t="s">
        <v>980</v>
      </c>
      <c r="D18" s="25" t="s">
        <v>981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x14ac:dyDescent="0.15">
      <c r="A19" s="25" t="s">
        <v>1014</v>
      </c>
      <c r="B19" s="25" t="s">
        <v>88</v>
      </c>
      <c r="C19" s="25" t="s">
        <v>89</v>
      </c>
      <c r="D19" s="25" t="s">
        <v>90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204</f>
        <v>204</v>
      </c>
      <c r="L19" s="32" t="s">
        <v>904</v>
      </c>
      <c r="M19" s="31">
        <f>208.7</f>
        <v>208.7</v>
      </c>
      <c r="N19" s="32" t="s">
        <v>915</v>
      </c>
      <c r="O19" s="31">
        <f>189</f>
        <v>189</v>
      </c>
      <c r="P19" s="32" t="s">
        <v>934</v>
      </c>
      <c r="Q19" s="31">
        <f>189.1</f>
        <v>189.1</v>
      </c>
      <c r="R19" s="32" t="s">
        <v>934</v>
      </c>
      <c r="S19" s="33">
        <f>199.19</f>
        <v>199.19</v>
      </c>
      <c r="T19" s="30">
        <f>293700</f>
        <v>293700</v>
      </c>
      <c r="U19" s="30" t="str">
        <f>"－"</f>
        <v>－</v>
      </c>
      <c r="V19" s="30">
        <f>58521770</f>
        <v>58521770</v>
      </c>
      <c r="W19" s="30" t="str">
        <f>"－"</f>
        <v>－</v>
      </c>
      <c r="X19" s="34">
        <f>20</f>
        <v>20</v>
      </c>
    </row>
    <row r="20" spans="1:24" x14ac:dyDescent="0.15">
      <c r="A20" s="25" t="s">
        <v>1014</v>
      </c>
      <c r="B20" s="25" t="s">
        <v>91</v>
      </c>
      <c r="C20" s="25" t="s">
        <v>92</v>
      </c>
      <c r="D20" s="25" t="s">
        <v>93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22170</f>
        <v>22170</v>
      </c>
      <c r="L20" s="32" t="s">
        <v>904</v>
      </c>
      <c r="M20" s="31">
        <f>23095</f>
        <v>23095</v>
      </c>
      <c r="N20" s="32" t="s">
        <v>912</v>
      </c>
      <c r="O20" s="31">
        <f>21800</f>
        <v>21800</v>
      </c>
      <c r="P20" s="32" t="s">
        <v>812</v>
      </c>
      <c r="Q20" s="31">
        <f>22425</f>
        <v>22425</v>
      </c>
      <c r="R20" s="32" t="s">
        <v>934</v>
      </c>
      <c r="S20" s="33">
        <f>22429</f>
        <v>22429</v>
      </c>
      <c r="T20" s="30">
        <f>170698</f>
        <v>170698</v>
      </c>
      <c r="U20" s="30">
        <f>1</f>
        <v>1</v>
      </c>
      <c r="V20" s="30">
        <f>3823358365</f>
        <v>3823358365</v>
      </c>
      <c r="W20" s="30">
        <f>24155</f>
        <v>24155</v>
      </c>
      <c r="X20" s="34">
        <f>20</f>
        <v>20</v>
      </c>
    </row>
    <row r="21" spans="1:24" x14ac:dyDescent="0.15">
      <c r="A21" s="25" t="s">
        <v>1014</v>
      </c>
      <c r="B21" s="25" t="s">
        <v>95</v>
      </c>
      <c r="C21" s="25" t="s">
        <v>96</v>
      </c>
      <c r="D21" s="25" t="s">
        <v>97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5962</f>
        <v>5962</v>
      </c>
      <c r="L21" s="32" t="s">
        <v>904</v>
      </c>
      <c r="M21" s="31">
        <f>6200</f>
        <v>6200</v>
      </c>
      <c r="N21" s="32" t="s">
        <v>912</v>
      </c>
      <c r="O21" s="31">
        <f>5848</f>
        <v>5848</v>
      </c>
      <c r="P21" s="32" t="s">
        <v>94</v>
      </c>
      <c r="Q21" s="31">
        <f>6016</f>
        <v>6016</v>
      </c>
      <c r="R21" s="32" t="s">
        <v>934</v>
      </c>
      <c r="S21" s="33">
        <f>6017.65</f>
        <v>6017.65</v>
      </c>
      <c r="T21" s="30">
        <f>92420</f>
        <v>92420</v>
      </c>
      <c r="U21" s="30">
        <f>60</f>
        <v>60</v>
      </c>
      <c r="V21" s="30">
        <f>556230560</f>
        <v>556230560</v>
      </c>
      <c r="W21" s="30">
        <f>366900</f>
        <v>366900</v>
      </c>
      <c r="X21" s="34">
        <f>20</f>
        <v>20</v>
      </c>
    </row>
    <row r="22" spans="1:24" x14ac:dyDescent="0.15">
      <c r="A22" s="25" t="s">
        <v>1014</v>
      </c>
      <c r="B22" s="25" t="s">
        <v>98</v>
      </c>
      <c r="C22" s="25" t="s">
        <v>99</v>
      </c>
      <c r="D22" s="25" t="s">
        <v>100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28655</f>
        <v>28655</v>
      </c>
      <c r="L22" s="32" t="s">
        <v>904</v>
      </c>
      <c r="M22" s="31">
        <f>29530</f>
        <v>29530</v>
      </c>
      <c r="N22" s="32" t="s">
        <v>56</v>
      </c>
      <c r="O22" s="31">
        <f>26745</f>
        <v>26745</v>
      </c>
      <c r="P22" s="32" t="s">
        <v>94</v>
      </c>
      <c r="Q22" s="31">
        <f>26905</f>
        <v>26905</v>
      </c>
      <c r="R22" s="32" t="s">
        <v>934</v>
      </c>
      <c r="S22" s="33">
        <f>28277.75</f>
        <v>28277.75</v>
      </c>
      <c r="T22" s="30">
        <f>608347</f>
        <v>608347</v>
      </c>
      <c r="U22" s="30">
        <f>196420</f>
        <v>196420</v>
      </c>
      <c r="V22" s="30">
        <f>17137604149</f>
        <v>17137604149</v>
      </c>
      <c r="W22" s="30">
        <f>5542829184</f>
        <v>5542829184</v>
      </c>
      <c r="X22" s="34">
        <f>20</f>
        <v>20</v>
      </c>
    </row>
    <row r="23" spans="1:24" x14ac:dyDescent="0.15">
      <c r="A23" s="25" t="s">
        <v>1014</v>
      </c>
      <c r="B23" s="25" t="s">
        <v>101</v>
      </c>
      <c r="C23" s="25" t="s">
        <v>102</v>
      </c>
      <c r="D23" s="25" t="s">
        <v>103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28525</f>
        <v>28525</v>
      </c>
      <c r="L23" s="32" t="s">
        <v>904</v>
      </c>
      <c r="M23" s="31">
        <f>29405</f>
        <v>29405</v>
      </c>
      <c r="N23" s="32" t="s">
        <v>56</v>
      </c>
      <c r="O23" s="31">
        <f>26630</f>
        <v>26630</v>
      </c>
      <c r="P23" s="32" t="s">
        <v>94</v>
      </c>
      <c r="Q23" s="31">
        <f>26790</f>
        <v>26790</v>
      </c>
      <c r="R23" s="32" t="s">
        <v>934</v>
      </c>
      <c r="S23" s="33">
        <f>28153.75</f>
        <v>28153.75</v>
      </c>
      <c r="T23" s="30">
        <f>1078460</f>
        <v>1078460</v>
      </c>
      <c r="U23" s="30">
        <f>189910</f>
        <v>189910</v>
      </c>
      <c r="V23" s="30">
        <f>30147720847</f>
        <v>30147720847</v>
      </c>
      <c r="W23" s="30">
        <f>5298407147</f>
        <v>5298407147</v>
      </c>
      <c r="X23" s="34">
        <f>20</f>
        <v>20</v>
      </c>
    </row>
    <row r="24" spans="1:24" x14ac:dyDescent="0.15">
      <c r="A24" s="25" t="s">
        <v>1014</v>
      </c>
      <c r="B24" s="25" t="s">
        <v>104</v>
      </c>
      <c r="C24" s="25" t="s">
        <v>105</v>
      </c>
      <c r="D24" s="25" t="s">
        <v>106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2184</f>
        <v>2184</v>
      </c>
      <c r="L24" s="32" t="s">
        <v>904</v>
      </c>
      <c r="M24" s="31">
        <f>2192.5</f>
        <v>2192.5</v>
      </c>
      <c r="N24" s="32" t="s">
        <v>56</v>
      </c>
      <c r="O24" s="31">
        <f>2053.5</f>
        <v>2053.5</v>
      </c>
      <c r="P24" s="32" t="s">
        <v>94</v>
      </c>
      <c r="Q24" s="31">
        <f>2096.5</f>
        <v>2096.5</v>
      </c>
      <c r="R24" s="32" t="s">
        <v>934</v>
      </c>
      <c r="S24" s="33">
        <f>2156.18</f>
        <v>2156.1799999999998</v>
      </c>
      <c r="T24" s="30">
        <f>8196990</f>
        <v>8196990</v>
      </c>
      <c r="U24" s="30">
        <f>2007660</f>
        <v>2007660</v>
      </c>
      <c r="V24" s="30">
        <f>17576467457</f>
        <v>17576467457</v>
      </c>
      <c r="W24" s="30">
        <f>4285122197</f>
        <v>4285122197</v>
      </c>
      <c r="X24" s="34">
        <f>20</f>
        <v>20</v>
      </c>
    </row>
    <row r="25" spans="1:24" x14ac:dyDescent="0.15">
      <c r="A25" s="25" t="s">
        <v>1014</v>
      </c>
      <c r="B25" s="25" t="s">
        <v>107</v>
      </c>
      <c r="C25" s="25" t="s">
        <v>108</v>
      </c>
      <c r="D25" s="25" t="s">
        <v>109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2076</f>
        <v>2076</v>
      </c>
      <c r="L25" s="32" t="s">
        <v>904</v>
      </c>
      <c r="M25" s="31">
        <f>2076</f>
        <v>2076</v>
      </c>
      <c r="N25" s="32" t="s">
        <v>904</v>
      </c>
      <c r="O25" s="31">
        <f>1928.5</f>
        <v>1928.5</v>
      </c>
      <c r="P25" s="32" t="s">
        <v>94</v>
      </c>
      <c r="Q25" s="31">
        <f>1973.5</f>
        <v>1973.5</v>
      </c>
      <c r="R25" s="32" t="s">
        <v>934</v>
      </c>
      <c r="S25" s="33">
        <f>2027</f>
        <v>2027</v>
      </c>
      <c r="T25" s="30">
        <f>1842200</f>
        <v>1842200</v>
      </c>
      <c r="U25" s="30">
        <f>796000</f>
        <v>796000</v>
      </c>
      <c r="V25" s="30">
        <f>3727046962</f>
        <v>3727046962</v>
      </c>
      <c r="W25" s="30">
        <f>1633404412</f>
        <v>1633404412</v>
      </c>
      <c r="X25" s="34">
        <f>20</f>
        <v>20</v>
      </c>
    </row>
    <row r="26" spans="1:24" x14ac:dyDescent="0.15">
      <c r="A26" s="25" t="s">
        <v>1014</v>
      </c>
      <c r="B26" s="25" t="s">
        <v>110</v>
      </c>
      <c r="C26" s="25" t="s">
        <v>111</v>
      </c>
      <c r="D26" s="25" t="s">
        <v>112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28600</f>
        <v>28600</v>
      </c>
      <c r="L26" s="32" t="s">
        <v>904</v>
      </c>
      <c r="M26" s="31">
        <f>29500</f>
        <v>29500</v>
      </c>
      <c r="N26" s="32" t="s">
        <v>56</v>
      </c>
      <c r="O26" s="31">
        <f>26720</f>
        <v>26720</v>
      </c>
      <c r="P26" s="32" t="s">
        <v>94</v>
      </c>
      <c r="Q26" s="31">
        <f>26945</f>
        <v>26945</v>
      </c>
      <c r="R26" s="32" t="s">
        <v>934</v>
      </c>
      <c r="S26" s="33">
        <f>28262.25</f>
        <v>28262.25</v>
      </c>
      <c r="T26" s="30">
        <f>701642</f>
        <v>701642</v>
      </c>
      <c r="U26" s="30">
        <f>314023</f>
        <v>314023</v>
      </c>
      <c r="V26" s="30">
        <f>19787296119</f>
        <v>19787296119</v>
      </c>
      <c r="W26" s="30">
        <f>8957619814</f>
        <v>8957619814</v>
      </c>
      <c r="X26" s="34">
        <f>20</f>
        <v>20</v>
      </c>
    </row>
    <row r="27" spans="1:24" x14ac:dyDescent="0.15">
      <c r="A27" s="25" t="s">
        <v>1014</v>
      </c>
      <c r="B27" s="25" t="s">
        <v>113</v>
      </c>
      <c r="C27" s="25" t="s">
        <v>114</v>
      </c>
      <c r="D27" s="25" t="s">
        <v>115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2004.5</f>
        <v>2004.5</v>
      </c>
      <c r="L27" s="32" t="s">
        <v>904</v>
      </c>
      <c r="M27" s="31">
        <f>2051</f>
        <v>2051</v>
      </c>
      <c r="N27" s="32" t="s">
        <v>56</v>
      </c>
      <c r="O27" s="31">
        <f>1895</f>
        <v>1895</v>
      </c>
      <c r="P27" s="32" t="s">
        <v>94</v>
      </c>
      <c r="Q27" s="31">
        <f>1913</f>
        <v>1913</v>
      </c>
      <c r="R27" s="32" t="s">
        <v>934</v>
      </c>
      <c r="S27" s="33">
        <f>1986.38</f>
        <v>1986.38</v>
      </c>
      <c r="T27" s="30">
        <f>4814430</f>
        <v>4814430</v>
      </c>
      <c r="U27" s="30">
        <f>1846760</f>
        <v>1846760</v>
      </c>
      <c r="V27" s="30">
        <f>9559219405</f>
        <v>9559219405</v>
      </c>
      <c r="W27" s="30">
        <f>3702808890</f>
        <v>3702808890</v>
      </c>
      <c r="X27" s="34">
        <f>20</f>
        <v>20</v>
      </c>
    </row>
    <row r="28" spans="1:24" x14ac:dyDescent="0.15">
      <c r="A28" s="25" t="s">
        <v>1014</v>
      </c>
      <c r="B28" s="25" t="s">
        <v>116</v>
      </c>
      <c r="C28" s="25" t="s">
        <v>117</v>
      </c>
      <c r="D28" s="25" t="s">
        <v>118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14680</f>
        <v>14680</v>
      </c>
      <c r="L28" s="32" t="s">
        <v>904</v>
      </c>
      <c r="M28" s="31">
        <f>15060</f>
        <v>15060</v>
      </c>
      <c r="N28" s="32" t="s">
        <v>695</v>
      </c>
      <c r="O28" s="31">
        <f>14360</f>
        <v>14360</v>
      </c>
      <c r="P28" s="32" t="s">
        <v>936</v>
      </c>
      <c r="Q28" s="31">
        <f>14410</f>
        <v>14410</v>
      </c>
      <c r="R28" s="32" t="s">
        <v>934</v>
      </c>
      <c r="S28" s="33">
        <f>14708.75</f>
        <v>14708.75</v>
      </c>
      <c r="T28" s="30">
        <f>769</f>
        <v>769</v>
      </c>
      <c r="U28" s="30" t="str">
        <f>"－"</f>
        <v>－</v>
      </c>
      <c r="V28" s="30">
        <f>11351355</f>
        <v>11351355</v>
      </c>
      <c r="W28" s="30" t="str">
        <f>"－"</f>
        <v>－</v>
      </c>
      <c r="X28" s="34">
        <f>20</f>
        <v>20</v>
      </c>
    </row>
    <row r="29" spans="1:24" x14ac:dyDescent="0.15">
      <c r="A29" s="25" t="s">
        <v>1014</v>
      </c>
      <c r="B29" s="25" t="s">
        <v>119</v>
      </c>
      <c r="C29" s="25" t="s">
        <v>120</v>
      </c>
      <c r="D29" s="25" t="s">
        <v>121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956.8</f>
        <v>956.8</v>
      </c>
      <c r="L29" s="32" t="s">
        <v>904</v>
      </c>
      <c r="M29" s="31">
        <f>1067</f>
        <v>1067</v>
      </c>
      <c r="N29" s="32" t="s">
        <v>94</v>
      </c>
      <c r="O29" s="31">
        <f>913.2</f>
        <v>913.2</v>
      </c>
      <c r="P29" s="32" t="s">
        <v>56</v>
      </c>
      <c r="Q29" s="31">
        <f>1043</f>
        <v>1043</v>
      </c>
      <c r="R29" s="32" t="s">
        <v>934</v>
      </c>
      <c r="S29" s="33">
        <f>974.78</f>
        <v>974.78</v>
      </c>
      <c r="T29" s="30">
        <f>9554860</f>
        <v>9554860</v>
      </c>
      <c r="U29" s="30">
        <f>580</f>
        <v>580</v>
      </c>
      <c r="V29" s="30">
        <f>9351505627</f>
        <v>9351505627</v>
      </c>
      <c r="W29" s="30">
        <f>560175</f>
        <v>560175</v>
      </c>
      <c r="X29" s="34">
        <f>20</f>
        <v>20</v>
      </c>
    </row>
    <row r="30" spans="1:24" x14ac:dyDescent="0.15">
      <c r="A30" s="25" t="s">
        <v>1014</v>
      </c>
      <c r="B30" s="25" t="s">
        <v>122</v>
      </c>
      <c r="C30" s="25" t="s">
        <v>123</v>
      </c>
      <c r="D30" s="25" t="s">
        <v>124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365</f>
        <v>365</v>
      </c>
      <c r="L30" s="32" t="s">
        <v>904</v>
      </c>
      <c r="M30" s="31">
        <f>416</f>
        <v>416</v>
      </c>
      <c r="N30" s="32" t="s">
        <v>94</v>
      </c>
      <c r="O30" s="31">
        <f>342</f>
        <v>342</v>
      </c>
      <c r="P30" s="32" t="s">
        <v>56</v>
      </c>
      <c r="Q30" s="31">
        <f>410</f>
        <v>410</v>
      </c>
      <c r="R30" s="32" t="s">
        <v>934</v>
      </c>
      <c r="S30" s="33">
        <f>373.7</f>
        <v>373.7</v>
      </c>
      <c r="T30" s="30">
        <f>1878735207</f>
        <v>1878735207</v>
      </c>
      <c r="U30" s="30">
        <f>1613902</f>
        <v>1613902</v>
      </c>
      <c r="V30" s="30">
        <f>706130943421</f>
        <v>706130943421</v>
      </c>
      <c r="W30" s="30">
        <f>583386477</f>
        <v>583386477</v>
      </c>
      <c r="X30" s="34">
        <f>20</f>
        <v>20</v>
      </c>
    </row>
    <row r="31" spans="1:24" x14ac:dyDescent="0.15">
      <c r="A31" s="25" t="s">
        <v>1014</v>
      </c>
      <c r="B31" s="25" t="s">
        <v>125</v>
      </c>
      <c r="C31" s="25" t="s">
        <v>126</v>
      </c>
      <c r="D31" s="25" t="s">
        <v>127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26735</f>
        <v>26735</v>
      </c>
      <c r="L31" s="32" t="s">
        <v>904</v>
      </c>
      <c r="M31" s="31">
        <f>28390</f>
        <v>28390</v>
      </c>
      <c r="N31" s="32" t="s">
        <v>56</v>
      </c>
      <c r="O31" s="31">
        <f>23180</f>
        <v>23180</v>
      </c>
      <c r="P31" s="32" t="s">
        <v>94</v>
      </c>
      <c r="Q31" s="31">
        <f>23470</f>
        <v>23470</v>
      </c>
      <c r="R31" s="32" t="s">
        <v>934</v>
      </c>
      <c r="S31" s="33">
        <f>26006.5</f>
        <v>26006.5</v>
      </c>
      <c r="T31" s="30">
        <f>590626</f>
        <v>590626</v>
      </c>
      <c r="U31" s="30">
        <f>5</f>
        <v>5</v>
      </c>
      <c r="V31" s="30">
        <f>15200119420</f>
        <v>15200119420</v>
      </c>
      <c r="W31" s="30">
        <f>122500</f>
        <v>122500</v>
      </c>
      <c r="X31" s="34">
        <f>20</f>
        <v>20</v>
      </c>
    </row>
    <row r="32" spans="1:24" x14ac:dyDescent="0.15">
      <c r="A32" s="25" t="s">
        <v>1014</v>
      </c>
      <c r="B32" s="25" t="s">
        <v>128</v>
      </c>
      <c r="C32" s="25" t="s">
        <v>129</v>
      </c>
      <c r="D32" s="25" t="s">
        <v>130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891</f>
        <v>891</v>
      </c>
      <c r="L32" s="32" t="s">
        <v>904</v>
      </c>
      <c r="M32" s="31">
        <f>1013.5</f>
        <v>1013.5</v>
      </c>
      <c r="N32" s="32" t="s">
        <v>94</v>
      </c>
      <c r="O32" s="31">
        <f>835.2</f>
        <v>835.2</v>
      </c>
      <c r="P32" s="32" t="s">
        <v>56</v>
      </c>
      <c r="Q32" s="31">
        <f>1000.5</f>
        <v>1000.5</v>
      </c>
      <c r="R32" s="32" t="s">
        <v>934</v>
      </c>
      <c r="S32" s="33">
        <f>911.9</f>
        <v>911.9</v>
      </c>
      <c r="T32" s="30">
        <f>263817830</f>
        <v>263817830</v>
      </c>
      <c r="U32" s="30">
        <f>990020</f>
        <v>990020</v>
      </c>
      <c r="V32" s="30">
        <f>243662358517</f>
        <v>243662358517</v>
      </c>
      <c r="W32" s="30">
        <f>941092336</f>
        <v>941092336</v>
      </c>
      <c r="X32" s="34">
        <f>20</f>
        <v>20</v>
      </c>
    </row>
    <row r="33" spans="1:24" x14ac:dyDescent="0.15">
      <c r="A33" s="25" t="s">
        <v>1014</v>
      </c>
      <c r="B33" s="25" t="s">
        <v>131</v>
      </c>
      <c r="C33" s="25" t="s">
        <v>132</v>
      </c>
      <c r="D33" s="25" t="s">
        <v>133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17780</f>
        <v>17780</v>
      </c>
      <c r="L33" s="32" t="s">
        <v>904</v>
      </c>
      <c r="M33" s="31">
        <f>18210</f>
        <v>18210</v>
      </c>
      <c r="N33" s="32" t="s">
        <v>56</v>
      </c>
      <c r="O33" s="31">
        <f>16790</f>
        <v>16790</v>
      </c>
      <c r="P33" s="32" t="s">
        <v>94</v>
      </c>
      <c r="Q33" s="31">
        <f>16970</f>
        <v>16970</v>
      </c>
      <c r="R33" s="32" t="s">
        <v>934</v>
      </c>
      <c r="S33" s="33">
        <f>17601.75</f>
        <v>17601.75</v>
      </c>
      <c r="T33" s="30">
        <f>129587</f>
        <v>129587</v>
      </c>
      <c r="U33" s="30">
        <f>126002</f>
        <v>126002</v>
      </c>
      <c r="V33" s="30">
        <f>2268860310</f>
        <v>2268860310</v>
      </c>
      <c r="W33" s="30">
        <f>2206384210</f>
        <v>2206384210</v>
      </c>
      <c r="X33" s="34">
        <f>20</f>
        <v>20</v>
      </c>
    </row>
    <row r="34" spans="1:24" x14ac:dyDescent="0.15">
      <c r="A34" s="25" t="s">
        <v>1014</v>
      </c>
      <c r="B34" s="25" t="s">
        <v>134</v>
      </c>
      <c r="C34" s="25" t="s">
        <v>135</v>
      </c>
      <c r="D34" s="25" t="s">
        <v>136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22280</f>
        <v>22280</v>
      </c>
      <c r="L34" s="32" t="s">
        <v>904</v>
      </c>
      <c r="M34" s="31">
        <f>23685</f>
        <v>23685</v>
      </c>
      <c r="N34" s="32" t="s">
        <v>56</v>
      </c>
      <c r="O34" s="31">
        <f>19320</f>
        <v>19320</v>
      </c>
      <c r="P34" s="32" t="s">
        <v>94</v>
      </c>
      <c r="Q34" s="31">
        <f>19560</f>
        <v>19560</v>
      </c>
      <c r="R34" s="32" t="s">
        <v>934</v>
      </c>
      <c r="S34" s="33">
        <f>21691.75</f>
        <v>21691.75</v>
      </c>
      <c r="T34" s="30">
        <f>1237824</f>
        <v>1237824</v>
      </c>
      <c r="U34" s="30">
        <f>5</f>
        <v>5</v>
      </c>
      <c r="V34" s="30">
        <f>26592557600</f>
        <v>26592557600</v>
      </c>
      <c r="W34" s="30">
        <f>111800</f>
        <v>111800</v>
      </c>
      <c r="X34" s="34">
        <f>20</f>
        <v>20</v>
      </c>
    </row>
    <row r="35" spans="1:24" x14ac:dyDescent="0.15">
      <c r="A35" s="25" t="s">
        <v>1014</v>
      </c>
      <c r="B35" s="25" t="s">
        <v>137</v>
      </c>
      <c r="C35" s="25" t="s">
        <v>138</v>
      </c>
      <c r="D35" s="25" t="s">
        <v>139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952</f>
        <v>952</v>
      </c>
      <c r="L35" s="32" t="s">
        <v>904</v>
      </c>
      <c r="M35" s="31">
        <f>1081</f>
        <v>1081</v>
      </c>
      <c r="N35" s="32" t="s">
        <v>94</v>
      </c>
      <c r="O35" s="31">
        <f>891</f>
        <v>891</v>
      </c>
      <c r="P35" s="32" t="s">
        <v>56</v>
      </c>
      <c r="Q35" s="31">
        <f>1066</f>
        <v>1066</v>
      </c>
      <c r="R35" s="32" t="s">
        <v>934</v>
      </c>
      <c r="S35" s="33">
        <f>972.9</f>
        <v>972.9</v>
      </c>
      <c r="T35" s="30">
        <f>25078309</f>
        <v>25078309</v>
      </c>
      <c r="U35" s="30">
        <f>400</f>
        <v>400</v>
      </c>
      <c r="V35" s="30">
        <f>24724212224</f>
        <v>24724212224</v>
      </c>
      <c r="W35" s="30">
        <f>345200</f>
        <v>345200</v>
      </c>
      <c r="X35" s="34">
        <f>20</f>
        <v>20</v>
      </c>
    </row>
    <row r="36" spans="1:24" x14ac:dyDescent="0.15">
      <c r="A36" s="25" t="s">
        <v>1014</v>
      </c>
      <c r="B36" s="25" t="s">
        <v>140</v>
      </c>
      <c r="C36" s="25" t="s">
        <v>141</v>
      </c>
      <c r="D36" s="25" t="s">
        <v>142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18550</f>
        <v>18550</v>
      </c>
      <c r="L36" s="32" t="s">
        <v>904</v>
      </c>
      <c r="M36" s="31">
        <f>19390</f>
        <v>19390</v>
      </c>
      <c r="N36" s="32" t="s">
        <v>56</v>
      </c>
      <c r="O36" s="31">
        <f>16490</f>
        <v>16490</v>
      </c>
      <c r="P36" s="32" t="s">
        <v>94</v>
      </c>
      <c r="Q36" s="31">
        <f>16815</f>
        <v>16815</v>
      </c>
      <c r="R36" s="32" t="s">
        <v>934</v>
      </c>
      <c r="S36" s="33">
        <f>18169.5</f>
        <v>18169.5</v>
      </c>
      <c r="T36" s="30">
        <f>135103</f>
        <v>135103</v>
      </c>
      <c r="U36" s="30" t="str">
        <f>"－"</f>
        <v>－</v>
      </c>
      <c r="V36" s="30">
        <f>2435662855</f>
        <v>2435662855</v>
      </c>
      <c r="W36" s="30" t="str">
        <f>"－"</f>
        <v>－</v>
      </c>
      <c r="X36" s="34">
        <f>20</f>
        <v>20</v>
      </c>
    </row>
    <row r="37" spans="1:24" x14ac:dyDescent="0.15">
      <c r="A37" s="25" t="s">
        <v>1014</v>
      </c>
      <c r="B37" s="25" t="s">
        <v>143</v>
      </c>
      <c r="C37" s="25" t="s">
        <v>144</v>
      </c>
      <c r="D37" s="25" t="s">
        <v>145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1392</f>
        <v>1392</v>
      </c>
      <c r="L37" s="32" t="s">
        <v>904</v>
      </c>
      <c r="M37" s="31">
        <f>1546</f>
        <v>1546</v>
      </c>
      <c r="N37" s="32" t="s">
        <v>94</v>
      </c>
      <c r="O37" s="31">
        <f>1323</f>
        <v>1323</v>
      </c>
      <c r="P37" s="32" t="s">
        <v>56</v>
      </c>
      <c r="Q37" s="31">
        <f>1513</f>
        <v>1513</v>
      </c>
      <c r="R37" s="32" t="s">
        <v>934</v>
      </c>
      <c r="S37" s="33">
        <f>1413.7</f>
        <v>1413.7</v>
      </c>
      <c r="T37" s="30">
        <f>1415386</f>
        <v>1415386</v>
      </c>
      <c r="U37" s="30" t="str">
        <f>"－"</f>
        <v>－</v>
      </c>
      <c r="V37" s="30">
        <f>2014543602</f>
        <v>2014543602</v>
      </c>
      <c r="W37" s="30" t="str">
        <f>"－"</f>
        <v>－</v>
      </c>
      <c r="X37" s="34">
        <f>20</f>
        <v>20</v>
      </c>
    </row>
    <row r="38" spans="1:24" x14ac:dyDescent="0.15">
      <c r="A38" s="25" t="s">
        <v>1014</v>
      </c>
      <c r="B38" s="25" t="s">
        <v>146</v>
      </c>
      <c r="C38" s="25" t="s">
        <v>147</v>
      </c>
      <c r="D38" s="25" t="s">
        <v>148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27785</f>
        <v>27785</v>
      </c>
      <c r="L38" s="32" t="s">
        <v>904</v>
      </c>
      <c r="M38" s="31">
        <f>28650</f>
        <v>28650</v>
      </c>
      <c r="N38" s="32" t="s">
        <v>56</v>
      </c>
      <c r="O38" s="31">
        <f>25950</f>
        <v>25950</v>
      </c>
      <c r="P38" s="32" t="s">
        <v>94</v>
      </c>
      <c r="Q38" s="31">
        <f>26090</f>
        <v>26090</v>
      </c>
      <c r="R38" s="32" t="s">
        <v>934</v>
      </c>
      <c r="S38" s="33">
        <f>27426.25</f>
        <v>27426.25</v>
      </c>
      <c r="T38" s="30">
        <f>198190</f>
        <v>198190</v>
      </c>
      <c r="U38" s="30">
        <f>103703</f>
        <v>103703</v>
      </c>
      <c r="V38" s="30">
        <f>5428217524</f>
        <v>5428217524</v>
      </c>
      <c r="W38" s="30">
        <f>2849650169</f>
        <v>2849650169</v>
      </c>
      <c r="X38" s="34">
        <f>20</f>
        <v>20</v>
      </c>
    </row>
    <row r="39" spans="1:24" x14ac:dyDescent="0.15">
      <c r="A39" s="25" t="s">
        <v>1014</v>
      </c>
      <c r="B39" s="25" t="s">
        <v>149</v>
      </c>
      <c r="C39" s="25" t="s">
        <v>150</v>
      </c>
      <c r="D39" s="25" t="s">
        <v>151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5020</f>
        <v>5020</v>
      </c>
      <c r="L39" s="32" t="s">
        <v>904</v>
      </c>
      <c r="M39" s="31">
        <f>5350</f>
        <v>5350</v>
      </c>
      <c r="N39" s="32" t="s">
        <v>56</v>
      </c>
      <c r="O39" s="31">
        <f>4650</f>
        <v>4650</v>
      </c>
      <c r="P39" s="32" t="s">
        <v>812</v>
      </c>
      <c r="Q39" s="31">
        <f>4820</f>
        <v>4820</v>
      </c>
      <c r="R39" s="32" t="s">
        <v>934</v>
      </c>
      <c r="S39" s="33">
        <f>5037.25</f>
        <v>5037.25</v>
      </c>
      <c r="T39" s="30">
        <f>6856</f>
        <v>6856</v>
      </c>
      <c r="U39" s="30" t="str">
        <f t="shared" ref="U39:U45" si="0">"－"</f>
        <v>－</v>
      </c>
      <c r="V39" s="30">
        <f>34228045</f>
        <v>34228045</v>
      </c>
      <c r="W39" s="30" t="str">
        <f t="shared" ref="W39:W45" si="1">"－"</f>
        <v>－</v>
      </c>
      <c r="X39" s="34">
        <f>20</f>
        <v>20</v>
      </c>
    </row>
    <row r="40" spans="1:24" x14ac:dyDescent="0.15">
      <c r="A40" s="25" t="s">
        <v>1014</v>
      </c>
      <c r="B40" s="25" t="s">
        <v>152</v>
      </c>
      <c r="C40" s="25" t="s">
        <v>153</v>
      </c>
      <c r="D40" s="25" t="s">
        <v>154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9561</f>
        <v>9561</v>
      </c>
      <c r="L40" s="32" t="s">
        <v>904</v>
      </c>
      <c r="M40" s="31">
        <f>11075</f>
        <v>11075</v>
      </c>
      <c r="N40" s="32" t="s">
        <v>812</v>
      </c>
      <c r="O40" s="31">
        <f>8783</f>
        <v>8783</v>
      </c>
      <c r="P40" s="32" t="s">
        <v>812</v>
      </c>
      <c r="Q40" s="31">
        <f>8920</f>
        <v>8920</v>
      </c>
      <c r="R40" s="32" t="s">
        <v>934</v>
      </c>
      <c r="S40" s="33">
        <f>9496.53</f>
        <v>9496.5300000000007</v>
      </c>
      <c r="T40" s="30">
        <f>5939</f>
        <v>5939</v>
      </c>
      <c r="U40" s="30" t="str">
        <f t="shared" si="0"/>
        <v>－</v>
      </c>
      <c r="V40" s="30">
        <f>56681751</f>
        <v>56681751</v>
      </c>
      <c r="W40" s="30" t="str">
        <f t="shared" si="1"/>
        <v>－</v>
      </c>
      <c r="X40" s="34">
        <f>19</f>
        <v>19</v>
      </c>
    </row>
    <row r="41" spans="1:24" x14ac:dyDescent="0.15">
      <c r="A41" s="25" t="s">
        <v>1014</v>
      </c>
      <c r="B41" s="25" t="s">
        <v>155</v>
      </c>
      <c r="C41" s="25" t="s">
        <v>156</v>
      </c>
      <c r="D41" s="25" t="s">
        <v>157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17235</f>
        <v>17235</v>
      </c>
      <c r="L41" s="32" t="s">
        <v>904</v>
      </c>
      <c r="M41" s="31">
        <f>18290</f>
        <v>18290</v>
      </c>
      <c r="N41" s="32" t="s">
        <v>56</v>
      </c>
      <c r="O41" s="31">
        <f>15980</f>
        <v>15980</v>
      </c>
      <c r="P41" s="32" t="s">
        <v>94</v>
      </c>
      <c r="Q41" s="31">
        <f>16280</f>
        <v>16280</v>
      </c>
      <c r="R41" s="32" t="s">
        <v>936</v>
      </c>
      <c r="S41" s="33">
        <f>17284.12</f>
        <v>17284.12</v>
      </c>
      <c r="T41" s="30">
        <f>375</f>
        <v>375</v>
      </c>
      <c r="U41" s="30" t="str">
        <f t="shared" si="0"/>
        <v>－</v>
      </c>
      <c r="V41" s="30">
        <f>6485440</f>
        <v>6485440</v>
      </c>
      <c r="W41" s="30" t="str">
        <f t="shared" si="1"/>
        <v>－</v>
      </c>
      <c r="X41" s="34">
        <f>17</f>
        <v>17</v>
      </c>
    </row>
    <row r="42" spans="1:24" x14ac:dyDescent="0.15">
      <c r="A42" s="25" t="s">
        <v>1014</v>
      </c>
      <c r="B42" s="25" t="s">
        <v>158</v>
      </c>
      <c r="C42" s="25" t="s">
        <v>159</v>
      </c>
      <c r="D42" s="25" t="s">
        <v>160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14510</f>
        <v>14510</v>
      </c>
      <c r="L42" s="32" t="s">
        <v>904</v>
      </c>
      <c r="M42" s="31">
        <f>15570</f>
        <v>15570</v>
      </c>
      <c r="N42" s="32" t="s">
        <v>56</v>
      </c>
      <c r="O42" s="31">
        <f>13450</f>
        <v>13450</v>
      </c>
      <c r="P42" s="32" t="s">
        <v>812</v>
      </c>
      <c r="Q42" s="31">
        <f>13595</f>
        <v>13595</v>
      </c>
      <c r="R42" s="32" t="s">
        <v>812</v>
      </c>
      <c r="S42" s="33">
        <f>14750.63</f>
        <v>14750.63</v>
      </c>
      <c r="T42" s="30">
        <f>73</f>
        <v>73</v>
      </c>
      <c r="U42" s="30" t="str">
        <f t="shared" si="0"/>
        <v>－</v>
      </c>
      <c r="V42" s="30">
        <f>1015275</f>
        <v>1015275</v>
      </c>
      <c r="W42" s="30" t="str">
        <f t="shared" si="1"/>
        <v>－</v>
      </c>
      <c r="X42" s="34">
        <f>8</f>
        <v>8</v>
      </c>
    </row>
    <row r="43" spans="1:24" x14ac:dyDescent="0.15">
      <c r="A43" s="25" t="s">
        <v>1014</v>
      </c>
      <c r="B43" s="25" t="s">
        <v>161</v>
      </c>
      <c r="C43" s="25" t="s">
        <v>162</v>
      </c>
      <c r="D43" s="25" t="s">
        <v>163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10810</f>
        <v>10810</v>
      </c>
      <c r="L43" s="32" t="s">
        <v>904</v>
      </c>
      <c r="M43" s="31">
        <f>11435</f>
        <v>11435</v>
      </c>
      <c r="N43" s="32" t="s">
        <v>56</v>
      </c>
      <c r="O43" s="31">
        <f>9737</f>
        <v>9737</v>
      </c>
      <c r="P43" s="32" t="s">
        <v>812</v>
      </c>
      <c r="Q43" s="31">
        <f>10240</f>
        <v>10240</v>
      </c>
      <c r="R43" s="32" t="s">
        <v>934</v>
      </c>
      <c r="S43" s="33">
        <f>10820.1</f>
        <v>10820.1</v>
      </c>
      <c r="T43" s="30">
        <f>2132</f>
        <v>2132</v>
      </c>
      <c r="U43" s="30" t="str">
        <f t="shared" si="0"/>
        <v>－</v>
      </c>
      <c r="V43" s="30">
        <f>22378901</f>
        <v>22378901</v>
      </c>
      <c r="W43" s="30" t="str">
        <f t="shared" si="1"/>
        <v>－</v>
      </c>
      <c r="X43" s="34">
        <f>20</f>
        <v>20</v>
      </c>
    </row>
    <row r="44" spans="1:24" x14ac:dyDescent="0.15">
      <c r="A44" s="25" t="s">
        <v>1014</v>
      </c>
      <c r="B44" s="25" t="s">
        <v>164</v>
      </c>
      <c r="C44" s="25" t="s">
        <v>165</v>
      </c>
      <c r="D44" s="25" t="s">
        <v>166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5720</f>
        <v>5720</v>
      </c>
      <c r="L44" s="32" t="s">
        <v>904</v>
      </c>
      <c r="M44" s="31">
        <f>5970</f>
        <v>5970</v>
      </c>
      <c r="N44" s="32" t="s">
        <v>56</v>
      </c>
      <c r="O44" s="31">
        <f>5300</f>
        <v>5300</v>
      </c>
      <c r="P44" s="32" t="s">
        <v>94</v>
      </c>
      <c r="Q44" s="31">
        <f>5370</f>
        <v>5370</v>
      </c>
      <c r="R44" s="32" t="s">
        <v>934</v>
      </c>
      <c r="S44" s="33">
        <f>5657</f>
        <v>5657</v>
      </c>
      <c r="T44" s="30">
        <f>2337</f>
        <v>2337</v>
      </c>
      <c r="U44" s="30" t="str">
        <f t="shared" si="0"/>
        <v>－</v>
      </c>
      <c r="V44" s="30">
        <f>13285490</f>
        <v>13285490</v>
      </c>
      <c r="W44" s="30" t="str">
        <f t="shared" si="1"/>
        <v>－</v>
      </c>
      <c r="X44" s="34">
        <f>20</f>
        <v>20</v>
      </c>
    </row>
    <row r="45" spans="1:24" x14ac:dyDescent="0.15">
      <c r="A45" s="25" t="s">
        <v>1014</v>
      </c>
      <c r="B45" s="25" t="s">
        <v>167</v>
      </c>
      <c r="C45" s="25" t="s">
        <v>168</v>
      </c>
      <c r="D45" s="25" t="s">
        <v>169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3035</f>
        <v>3035</v>
      </c>
      <c r="L45" s="32" t="s">
        <v>904</v>
      </c>
      <c r="M45" s="31">
        <f>3170</f>
        <v>3170</v>
      </c>
      <c r="N45" s="32" t="s">
        <v>56</v>
      </c>
      <c r="O45" s="31">
        <f>2820</f>
        <v>2820</v>
      </c>
      <c r="P45" s="32" t="s">
        <v>94</v>
      </c>
      <c r="Q45" s="31">
        <f>2910</f>
        <v>2910</v>
      </c>
      <c r="R45" s="32" t="s">
        <v>934</v>
      </c>
      <c r="S45" s="33">
        <f>3005</f>
        <v>3005</v>
      </c>
      <c r="T45" s="30">
        <f>25131</f>
        <v>25131</v>
      </c>
      <c r="U45" s="30" t="str">
        <f t="shared" si="0"/>
        <v>－</v>
      </c>
      <c r="V45" s="30">
        <f>75426270</f>
        <v>75426270</v>
      </c>
      <c r="W45" s="30" t="str">
        <f t="shared" si="1"/>
        <v>－</v>
      </c>
      <c r="X45" s="34">
        <f>20</f>
        <v>20</v>
      </c>
    </row>
    <row r="46" spans="1:24" x14ac:dyDescent="0.15">
      <c r="A46" s="25" t="s">
        <v>1014</v>
      </c>
      <c r="B46" s="25" t="s">
        <v>170</v>
      </c>
      <c r="C46" s="25" t="s">
        <v>171</v>
      </c>
      <c r="D46" s="25" t="s">
        <v>172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3045</f>
        <v>3045</v>
      </c>
      <c r="L46" s="32" t="s">
        <v>904</v>
      </c>
      <c r="M46" s="31">
        <f>3135</f>
        <v>3135</v>
      </c>
      <c r="N46" s="32" t="s">
        <v>56</v>
      </c>
      <c r="O46" s="31">
        <f>2715</f>
        <v>2715</v>
      </c>
      <c r="P46" s="32" t="s">
        <v>812</v>
      </c>
      <c r="Q46" s="31">
        <f>2845</f>
        <v>2845</v>
      </c>
      <c r="R46" s="32" t="s">
        <v>934</v>
      </c>
      <c r="S46" s="33">
        <f>2981.05</f>
        <v>2981.05</v>
      </c>
      <c r="T46" s="30">
        <f>3512</f>
        <v>3512</v>
      </c>
      <c r="U46" s="30">
        <f>243</f>
        <v>243</v>
      </c>
      <c r="V46" s="30">
        <f>10096695</f>
        <v>10096695</v>
      </c>
      <c r="W46" s="30">
        <f>642654</f>
        <v>642654</v>
      </c>
      <c r="X46" s="34">
        <f>20</f>
        <v>20</v>
      </c>
    </row>
    <row r="47" spans="1:24" x14ac:dyDescent="0.15">
      <c r="A47" s="25" t="s">
        <v>1014</v>
      </c>
      <c r="B47" s="25" t="s">
        <v>173</v>
      </c>
      <c r="C47" s="25" t="s">
        <v>174</v>
      </c>
      <c r="D47" s="25" t="s">
        <v>175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53490</f>
        <v>53490</v>
      </c>
      <c r="L47" s="32" t="s">
        <v>904</v>
      </c>
      <c r="M47" s="31">
        <f>56400</f>
        <v>56400</v>
      </c>
      <c r="N47" s="32" t="s">
        <v>56</v>
      </c>
      <c r="O47" s="31">
        <f>51000</f>
        <v>51000</v>
      </c>
      <c r="P47" s="32" t="s">
        <v>94</v>
      </c>
      <c r="Q47" s="31">
        <f>51630</f>
        <v>51630</v>
      </c>
      <c r="R47" s="32" t="s">
        <v>934</v>
      </c>
      <c r="S47" s="33">
        <f>53606.5</f>
        <v>53606.5</v>
      </c>
      <c r="T47" s="30">
        <f>1120</f>
        <v>1120</v>
      </c>
      <c r="U47" s="30" t="str">
        <f>"－"</f>
        <v>－</v>
      </c>
      <c r="V47" s="30">
        <f>60897310</f>
        <v>60897310</v>
      </c>
      <c r="W47" s="30" t="str">
        <f>"－"</f>
        <v>－</v>
      </c>
      <c r="X47" s="34">
        <f>20</f>
        <v>20</v>
      </c>
    </row>
    <row r="48" spans="1:24" x14ac:dyDescent="0.15">
      <c r="A48" s="25" t="s">
        <v>1014</v>
      </c>
      <c r="B48" s="25" t="s">
        <v>176</v>
      </c>
      <c r="C48" s="25" t="s">
        <v>177</v>
      </c>
      <c r="D48" s="25" t="s">
        <v>178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37150</f>
        <v>37150</v>
      </c>
      <c r="L48" s="32" t="s">
        <v>80</v>
      </c>
      <c r="M48" s="31">
        <f>39260</f>
        <v>39260</v>
      </c>
      <c r="N48" s="32" t="s">
        <v>56</v>
      </c>
      <c r="O48" s="31">
        <f>35350</f>
        <v>35350</v>
      </c>
      <c r="P48" s="32" t="s">
        <v>94</v>
      </c>
      <c r="Q48" s="31">
        <f>35740</f>
        <v>35740</v>
      </c>
      <c r="R48" s="32" t="s">
        <v>936</v>
      </c>
      <c r="S48" s="33">
        <f>37680</f>
        <v>37680</v>
      </c>
      <c r="T48" s="30">
        <f>421</f>
        <v>421</v>
      </c>
      <c r="U48" s="30" t="str">
        <f>"－"</f>
        <v>－</v>
      </c>
      <c r="V48" s="30">
        <f>16151590</f>
        <v>16151590</v>
      </c>
      <c r="W48" s="30" t="str">
        <f>"－"</f>
        <v>－</v>
      </c>
      <c r="X48" s="34">
        <f>8</f>
        <v>8</v>
      </c>
    </row>
    <row r="49" spans="1:24" x14ac:dyDescent="0.15">
      <c r="A49" s="25" t="s">
        <v>1014</v>
      </c>
      <c r="B49" s="25" t="s">
        <v>179</v>
      </c>
      <c r="C49" s="25" t="s">
        <v>180</v>
      </c>
      <c r="D49" s="25" t="s">
        <v>181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28000</f>
        <v>28000</v>
      </c>
      <c r="L49" s="32" t="s">
        <v>904</v>
      </c>
      <c r="M49" s="31">
        <f>28925</f>
        <v>28925</v>
      </c>
      <c r="N49" s="32" t="s">
        <v>56</v>
      </c>
      <c r="O49" s="31">
        <f>26415</f>
        <v>26415</v>
      </c>
      <c r="P49" s="32" t="s">
        <v>94</v>
      </c>
      <c r="Q49" s="31">
        <f>26860</f>
        <v>26860</v>
      </c>
      <c r="R49" s="32" t="s">
        <v>934</v>
      </c>
      <c r="S49" s="33">
        <f>27786.39</f>
        <v>27786.39</v>
      </c>
      <c r="T49" s="30">
        <f>127345</f>
        <v>127345</v>
      </c>
      <c r="U49" s="30">
        <f>85564</f>
        <v>85564</v>
      </c>
      <c r="V49" s="30">
        <f>3559216617</f>
        <v>3559216617</v>
      </c>
      <c r="W49" s="30">
        <f>2404172062</f>
        <v>2404172062</v>
      </c>
      <c r="X49" s="34">
        <f>18</f>
        <v>18</v>
      </c>
    </row>
    <row r="50" spans="1:24" x14ac:dyDescent="0.15">
      <c r="A50" s="25" t="s">
        <v>1014</v>
      </c>
      <c r="B50" s="25" t="s">
        <v>182</v>
      </c>
      <c r="C50" s="25" t="s">
        <v>183</v>
      </c>
      <c r="D50" s="25" t="s">
        <v>184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2100.5</f>
        <v>2100.5</v>
      </c>
      <c r="L50" s="32" t="s">
        <v>904</v>
      </c>
      <c r="M50" s="31">
        <f>2100.5</f>
        <v>2100.5</v>
      </c>
      <c r="N50" s="32" t="s">
        <v>904</v>
      </c>
      <c r="O50" s="31">
        <f>1945</f>
        <v>1945</v>
      </c>
      <c r="P50" s="32" t="s">
        <v>94</v>
      </c>
      <c r="Q50" s="31">
        <f>1991.5</f>
        <v>1991.5</v>
      </c>
      <c r="R50" s="32" t="s">
        <v>934</v>
      </c>
      <c r="S50" s="33">
        <f>2046.87</f>
        <v>2046.87</v>
      </c>
      <c r="T50" s="30">
        <f>838010</f>
        <v>838010</v>
      </c>
      <c r="U50" s="30">
        <f>105320</f>
        <v>105320</v>
      </c>
      <c r="V50" s="30">
        <f>1708749591</f>
        <v>1708749591</v>
      </c>
      <c r="W50" s="30">
        <f>219124071</f>
        <v>219124071</v>
      </c>
      <c r="X50" s="34">
        <f>19</f>
        <v>19</v>
      </c>
    </row>
    <row r="51" spans="1:24" x14ac:dyDescent="0.15">
      <c r="A51" s="25" t="s">
        <v>1014</v>
      </c>
      <c r="B51" s="25" t="s">
        <v>185</v>
      </c>
      <c r="C51" s="25" t="s">
        <v>186</v>
      </c>
      <c r="D51" s="25" t="s">
        <v>187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1699</f>
        <v>1699</v>
      </c>
      <c r="L51" s="32" t="s">
        <v>904</v>
      </c>
      <c r="M51" s="31">
        <f>1719.5</f>
        <v>1719.5</v>
      </c>
      <c r="N51" s="32" t="s">
        <v>904</v>
      </c>
      <c r="O51" s="31">
        <f>1580</f>
        <v>1580</v>
      </c>
      <c r="P51" s="32" t="s">
        <v>94</v>
      </c>
      <c r="Q51" s="31">
        <f>1599</f>
        <v>1599</v>
      </c>
      <c r="R51" s="32" t="s">
        <v>934</v>
      </c>
      <c r="S51" s="33">
        <f>1639.03</f>
        <v>1639.03</v>
      </c>
      <c r="T51" s="30">
        <f>4490</f>
        <v>4490</v>
      </c>
      <c r="U51" s="30" t="str">
        <f>"－"</f>
        <v>－</v>
      </c>
      <c r="V51" s="30">
        <f>7370930</f>
        <v>7370930</v>
      </c>
      <c r="W51" s="30" t="str">
        <f>"－"</f>
        <v>－</v>
      </c>
      <c r="X51" s="34">
        <f>18</f>
        <v>18</v>
      </c>
    </row>
    <row r="52" spans="1:24" x14ac:dyDescent="0.15">
      <c r="A52" s="25" t="s">
        <v>1014</v>
      </c>
      <c r="B52" s="25" t="s">
        <v>188</v>
      </c>
      <c r="C52" s="25" t="s">
        <v>189</v>
      </c>
      <c r="D52" s="25" t="s">
        <v>190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4165</f>
        <v>4165</v>
      </c>
      <c r="L52" s="32" t="s">
        <v>904</v>
      </c>
      <c r="M52" s="31">
        <f>4435</f>
        <v>4435</v>
      </c>
      <c r="N52" s="32" t="s">
        <v>94</v>
      </c>
      <c r="O52" s="31">
        <f>4025</f>
        <v>4025</v>
      </c>
      <c r="P52" s="32" t="s">
        <v>56</v>
      </c>
      <c r="Q52" s="31">
        <f>4415</f>
        <v>4415</v>
      </c>
      <c r="R52" s="32" t="s">
        <v>934</v>
      </c>
      <c r="S52" s="33">
        <f>4207.5</f>
        <v>4207.5</v>
      </c>
      <c r="T52" s="30">
        <f>515200</f>
        <v>515200</v>
      </c>
      <c r="U52" s="30">
        <f>28651</f>
        <v>28651</v>
      </c>
      <c r="V52" s="30">
        <f>2221081540</f>
        <v>2221081540</v>
      </c>
      <c r="W52" s="30">
        <f>119570485</f>
        <v>119570485</v>
      </c>
      <c r="X52" s="34">
        <f>20</f>
        <v>20</v>
      </c>
    </row>
    <row r="53" spans="1:24" x14ac:dyDescent="0.15">
      <c r="A53" s="25" t="s">
        <v>1014</v>
      </c>
      <c r="B53" s="25" t="s">
        <v>191</v>
      </c>
      <c r="C53" s="25" t="s">
        <v>192</v>
      </c>
      <c r="D53" s="25" t="s">
        <v>193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4945</f>
        <v>4945</v>
      </c>
      <c r="L53" s="32" t="s">
        <v>904</v>
      </c>
      <c r="M53" s="31">
        <f>5210</f>
        <v>5210</v>
      </c>
      <c r="N53" s="32" t="s">
        <v>94</v>
      </c>
      <c r="O53" s="31">
        <f>4825</f>
        <v>4825</v>
      </c>
      <c r="P53" s="32" t="s">
        <v>56</v>
      </c>
      <c r="Q53" s="31">
        <f>5150</f>
        <v>5150</v>
      </c>
      <c r="R53" s="32" t="s">
        <v>934</v>
      </c>
      <c r="S53" s="33">
        <f>4982</f>
        <v>4982</v>
      </c>
      <c r="T53" s="30">
        <f>582099</f>
        <v>582099</v>
      </c>
      <c r="U53" s="30">
        <f>345000</f>
        <v>345000</v>
      </c>
      <c r="V53" s="30">
        <f>2931257635</f>
        <v>2931257635</v>
      </c>
      <c r="W53" s="30">
        <f>1752616000</f>
        <v>1752616000</v>
      </c>
      <c r="X53" s="34">
        <f>20</f>
        <v>20</v>
      </c>
    </row>
    <row r="54" spans="1:24" x14ac:dyDescent="0.15">
      <c r="A54" s="25" t="s">
        <v>1014</v>
      </c>
      <c r="B54" s="25" t="s">
        <v>194</v>
      </c>
      <c r="C54" s="25" t="s">
        <v>195</v>
      </c>
      <c r="D54" s="25" t="s">
        <v>196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16930</f>
        <v>16930</v>
      </c>
      <c r="L54" s="32" t="s">
        <v>904</v>
      </c>
      <c r="M54" s="31">
        <f>17995</f>
        <v>17995</v>
      </c>
      <c r="N54" s="32" t="s">
        <v>56</v>
      </c>
      <c r="O54" s="31">
        <f>14675</f>
        <v>14675</v>
      </c>
      <c r="P54" s="32" t="s">
        <v>94</v>
      </c>
      <c r="Q54" s="31">
        <f>14875</f>
        <v>14875</v>
      </c>
      <c r="R54" s="32" t="s">
        <v>934</v>
      </c>
      <c r="S54" s="33">
        <f>16478</f>
        <v>16478</v>
      </c>
      <c r="T54" s="30">
        <f>15286662</f>
        <v>15286662</v>
      </c>
      <c r="U54" s="30" t="str">
        <f>"－"</f>
        <v>－</v>
      </c>
      <c r="V54" s="30">
        <f>249871635130</f>
        <v>249871635130</v>
      </c>
      <c r="W54" s="30" t="str">
        <f>"－"</f>
        <v>－</v>
      </c>
      <c r="X54" s="34">
        <f>20</f>
        <v>20</v>
      </c>
    </row>
    <row r="55" spans="1:24" x14ac:dyDescent="0.15">
      <c r="A55" s="25" t="s">
        <v>1014</v>
      </c>
      <c r="B55" s="25" t="s">
        <v>197</v>
      </c>
      <c r="C55" s="25" t="s">
        <v>198</v>
      </c>
      <c r="D55" s="25" t="s">
        <v>199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1465</f>
        <v>1465</v>
      </c>
      <c r="L55" s="32" t="s">
        <v>904</v>
      </c>
      <c r="M55" s="31">
        <f>1665</f>
        <v>1665</v>
      </c>
      <c r="N55" s="32" t="s">
        <v>94</v>
      </c>
      <c r="O55" s="31">
        <f>1372</f>
        <v>1372</v>
      </c>
      <c r="P55" s="32" t="s">
        <v>56</v>
      </c>
      <c r="Q55" s="31">
        <f>1642</f>
        <v>1642</v>
      </c>
      <c r="R55" s="32" t="s">
        <v>934</v>
      </c>
      <c r="S55" s="33">
        <f>1498.25</f>
        <v>1498.25</v>
      </c>
      <c r="T55" s="30">
        <f>271791165</f>
        <v>271791165</v>
      </c>
      <c r="U55" s="30">
        <f>350081</f>
        <v>350081</v>
      </c>
      <c r="V55" s="30">
        <f>411588231988</f>
        <v>411588231988</v>
      </c>
      <c r="W55" s="30">
        <f>536855303</f>
        <v>536855303</v>
      </c>
      <c r="X55" s="34">
        <f>20</f>
        <v>20</v>
      </c>
    </row>
    <row r="56" spans="1:24" x14ac:dyDescent="0.15">
      <c r="A56" s="25" t="s">
        <v>1014</v>
      </c>
      <c r="B56" s="25" t="s">
        <v>200</v>
      </c>
      <c r="C56" s="25" t="s">
        <v>201</v>
      </c>
      <c r="D56" s="25" t="s">
        <v>202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14670</f>
        <v>14670</v>
      </c>
      <c r="L56" s="32" t="s">
        <v>904</v>
      </c>
      <c r="M56" s="31">
        <f>15450</f>
        <v>15450</v>
      </c>
      <c r="N56" s="32" t="s">
        <v>56</v>
      </c>
      <c r="O56" s="31">
        <f>13060</f>
        <v>13060</v>
      </c>
      <c r="P56" s="32" t="s">
        <v>94</v>
      </c>
      <c r="Q56" s="31">
        <f>13315</f>
        <v>13315</v>
      </c>
      <c r="R56" s="32" t="s">
        <v>934</v>
      </c>
      <c r="S56" s="33">
        <f>14434.5</f>
        <v>14434.5</v>
      </c>
      <c r="T56" s="30">
        <f>2976</f>
        <v>2976</v>
      </c>
      <c r="U56" s="30" t="str">
        <f t="shared" ref="U56:U64" si="2">"－"</f>
        <v>－</v>
      </c>
      <c r="V56" s="30">
        <f>42074495</f>
        <v>42074495</v>
      </c>
      <c r="W56" s="30" t="str">
        <f t="shared" ref="W56:W64" si="3">"－"</f>
        <v>－</v>
      </c>
      <c r="X56" s="34">
        <f>20</f>
        <v>20</v>
      </c>
    </row>
    <row r="57" spans="1:24" x14ac:dyDescent="0.15">
      <c r="A57" s="25" t="s">
        <v>1014</v>
      </c>
      <c r="B57" s="25" t="s">
        <v>203</v>
      </c>
      <c r="C57" s="25" t="s">
        <v>204</v>
      </c>
      <c r="D57" s="25" t="s">
        <v>205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4810</f>
        <v>4810</v>
      </c>
      <c r="L57" s="32" t="s">
        <v>904</v>
      </c>
      <c r="M57" s="31">
        <f>4990</f>
        <v>4990</v>
      </c>
      <c r="N57" s="32" t="s">
        <v>266</v>
      </c>
      <c r="O57" s="31">
        <f>4640</f>
        <v>4640</v>
      </c>
      <c r="P57" s="32" t="s">
        <v>56</v>
      </c>
      <c r="Q57" s="31">
        <f>4975</f>
        <v>4975</v>
      </c>
      <c r="R57" s="32" t="s">
        <v>934</v>
      </c>
      <c r="S57" s="33">
        <f>4826.58</f>
        <v>4826.58</v>
      </c>
      <c r="T57" s="30">
        <f>1024</f>
        <v>1024</v>
      </c>
      <c r="U57" s="30" t="str">
        <f t="shared" si="2"/>
        <v>－</v>
      </c>
      <c r="V57" s="30">
        <f>4908450</f>
        <v>4908450</v>
      </c>
      <c r="W57" s="30" t="str">
        <f t="shared" si="3"/>
        <v>－</v>
      </c>
      <c r="X57" s="34">
        <f>19</f>
        <v>19</v>
      </c>
    </row>
    <row r="58" spans="1:24" x14ac:dyDescent="0.15">
      <c r="A58" s="25" t="s">
        <v>1014</v>
      </c>
      <c r="B58" s="25" t="s">
        <v>206</v>
      </c>
      <c r="C58" s="25" t="s">
        <v>207</v>
      </c>
      <c r="D58" s="25" t="s">
        <v>208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1798</f>
        <v>1798</v>
      </c>
      <c r="L58" s="32" t="s">
        <v>904</v>
      </c>
      <c r="M58" s="31">
        <f>2020</f>
        <v>2020</v>
      </c>
      <c r="N58" s="32" t="s">
        <v>94</v>
      </c>
      <c r="O58" s="31">
        <f>1685</f>
        <v>1685</v>
      </c>
      <c r="P58" s="32" t="s">
        <v>695</v>
      </c>
      <c r="Q58" s="31">
        <f>1958</f>
        <v>1958</v>
      </c>
      <c r="R58" s="32" t="s">
        <v>934</v>
      </c>
      <c r="S58" s="33">
        <f>1829.2</f>
        <v>1829.2</v>
      </c>
      <c r="T58" s="30">
        <f>43584</f>
        <v>43584</v>
      </c>
      <c r="U58" s="30" t="str">
        <f t="shared" si="2"/>
        <v>－</v>
      </c>
      <c r="V58" s="30">
        <f>79874157</f>
        <v>79874157</v>
      </c>
      <c r="W58" s="30" t="str">
        <f t="shared" si="3"/>
        <v>－</v>
      </c>
      <c r="X58" s="34">
        <f>20</f>
        <v>20</v>
      </c>
    </row>
    <row r="59" spans="1:24" x14ac:dyDescent="0.15">
      <c r="A59" s="25" t="s">
        <v>1014</v>
      </c>
      <c r="B59" s="25" t="s">
        <v>209</v>
      </c>
      <c r="C59" s="25" t="s">
        <v>210</v>
      </c>
      <c r="D59" s="25" t="s">
        <v>211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13800</f>
        <v>13800</v>
      </c>
      <c r="L59" s="32" t="s">
        <v>904</v>
      </c>
      <c r="M59" s="31">
        <f>14485</f>
        <v>14485</v>
      </c>
      <c r="N59" s="32" t="s">
        <v>56</v>
      </c>
      <c r="O59" s="31">
        <f>12325</f>
        <v>12325</v>
      </c>
      <c r="P59" s="32" t="s">
        <v>94</v>
      </c>
      <c r="Q59" s="31">
        <f>12550</f>
        <v>12550</v>
      </c>
      <c r="R59" s="32" t="s">
        <v>934</v>
      </c>
      <c r="S59" s="33">
        <f>13471.84</f>
        <v>13471.84</v>
      </c>
      <c r="T59" s="30">
        <f>4100</f>
        <v>4100</v>
      </c>
      <c r="U59" s="30" t="str">
        <f t="shared" si="2"/>
        <v>－</v>
      </c>
      <c r="V59" s="30">
        <f>53426950</f>
        <v>53426950</v>
      </c>
      <c r="W59" s="30" t="str">
        <f t="shared" si="3"/>
        <v>－</v>
      </c>
      <c r="X59" s="34">
        <f>19</f>
        <v>19</v>
      </c>
    </row>
    <row r="60" spans="1:24" x14ac:dyDescent="0.15">
      <c r="A60" s="25" t="s">
        <v>1014</v>
      </c>
      <c r="B60" s="25" t="s">
        <v>212</v>
      </c>
      <c r="C60" s="25" t="s">
        <v>213</v>
      </c>
      <c r="D60" s="25" t="s">
        <v>214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4201</f>
        <v>4201</v>
      </c>
      <c r="L60" s="32" t="s">
        <v>904</v>
      </c>
      <c r="M60" s="31">
        <f>4370</f>
        <v>4370</v>
      </c>
      <c r="N60" s="32" t="s">
        <v>695</v>
      </c>
      <c r="O60" s="31">
        <f>4090</f>
        <v>4090</v>
      </c>
      <c r="P60" s="32" t="s">
        <v>813</v>
      </c>
      <c r="Q60" s="31">
        <f>4292</f>
        <v>4292</v>
      </c>
      <c r="R60" s="32" t="s">
        <v>934</v>
      </c>
      <c r="S60" s="33">
        <f>4248.25</f>
        <v>4248.25</v>
      </c>
      <c r="T60" s="30">
        <f>470</f>
        <v>470</v>
      </c>
      <c r="U60" s="30" t="str">
        <f t="shared" si="2"/>
        <v>－</v>
      </c>
      <c r="V60" s="30">
        <f>2019830</f>
        <v>2019830</v>
      </c>
      <c r="W60" s="30" t="str">
        <f t="shared" si="3"/>
        <v>－</v>
      </c>
      <c r="X60" s="34">
        <f>12</f>
        <v>12</v>
      </c>
    </row>
    <row r="61" spans="1:24" x14ac:dyDescent="0.15">
      <c r="A61" s="25" t="s">
        <v>1014</v>
      </c>
      <c r="B61" s="25" t="s">
        <v>215</v>
      </c>
      <c r="C61" s="25" t="s">
        <v>216</v>
      </c>
      <c r="D61" s="25" t="s">
        <v>217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1745.5</f>
        <v>1745.5</v>
      </c>
      <c r="L61" s="32" t="s">
        <v>904</v>
      </c>
      <c r="M61" s="31">
        <f>1975</f>
        <v>1975</v>
      </c>
      <c r="N61" s="32" t="s">
        <v>94</v>
      </c>
      <c r="O61" s="31">
        <f>1684.5</f>
        <v>1684.5</v>
      </c>
      <c r="P61" s="32" t="s">
        <v>56</v>
      </c>
      <c r="Q61" s="31">
        <f>1933</f>
        <v>1933</v>
      </c>
      <c r="R61" s="32" t="s">
        <v>934</v>
      </c>
      <c r="S61" s="33">
        <f>1797.7</f>
        <v>1797.7</v>
      </c>
      <c r="T61" s="30">
        <f>97830</f>
        <v>97830</v>
      </c>
      <c r="U61" s="30" t="str">
        <f t="shared" si="2"/>
        <v>－</v>
      </c>
      <c r="V61" s="30">
        <f>179445230</f>
        <v>179445230</v>
      </c>
      <c r="W61" s="30" t="str">
        <f t="shared" si="3"/>
        <v>－</v>
      </c>
      <c r="X61" s="34">
        <f>20</f>
        <v>20</v>
      </c>
    </row>
    <row r="62" spans="1:24" x14ac:dyDescent="0.15">
      <c r="A62" s="25" t="s">
        <v>1014</v>
      </c>
      <c r="B62" s="25" t="s">
        <v>221</v>
      </c>
      <c r="C62" s="25" t="s">
        <v>222</v>
      </c>
      <c r="D62" s="25" t="s">
        <v>223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721</f>
        <v>721</v>
      </c>
      <c r="L62" s="32" t="s">
        <v>904</v>
      </c>
      <c r="M62" s="31">
        <f>830</f>
        <v>830</v>
      </c>
      <c r="N62" s="32" t="s">
        <v>94</v>
      </c>
      <c r="O62" s="31">
        <f>683</f>
        <v>683</v>
      </c>
      <c r="P62" s="32" t="s">
        <v>813</v>
      </c>
      <c r="Q62" s="31">
        <f>782</f>
        <v>782</v>
      </c>
      <c r="R62" s="32" t="s">
        <v>934</v>
      </c>
      <c r="S62" s="33">
        <f>732.55</f>
        <v>732.55</v>
      </c>
      <c r="T62" s="30">
        <f>68321</f>
        <v>68321</v>
      </c>
      <c r="U62" s="30" t="str">
        <f t="shared" si="2"/>
        <v>－</v>
      </c>
      <c r="V62" s="30">
        <f>50952594</f>
        <v>50952594</v>
      </c>
      <c r="W62" s="30" t="str">
        <f t="shared" si="3"/>
        <v>－</v>
      </c>
      <c r="X62" s="34">
        <f>20</f>
        <v>20</v>
      </c>
    </row>
    <row r="63" spans="1:24" x14ac:dyDescent="0.15">
      <c r="A63" s="25" t="s">
        <v>1014</v>
      </c>
      <c r="B63" s="25" t="s">
        <v>224</v>
      </c>
      <c r="C63" s="25" t="s">
        <v>225</v>
      </c>
      <c r="D63" s="25" t="s">
        <v>226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1967</f>
        <v>1967</v>
      </c>
      <c r="L63" s="32" t="s">
        <v>904</v>
      </c>
      <c r="M63" s="31">
        <f>2011</f>
        <v>2011</v>
      </c>
      <c r="N63" s="32" t="s">
        <v>56</v>
      </c>
      <c r="O63" s="31">
        <f>1860</f>
        <v>1860</v>
      </c>
      <c r="P63" s="32" t="s">
        <v>94</v>
      </c>
      <c r="Q63" s="31">
        <f>1879</f>
        <v>1879</v>
      </c>
      <c r="R63" s="32" t="s">
        <v>934</v>
      </c>
      <c r="S63" s="33">
        <f>1947.68</f>
        <v>1947.68</v>
      </c>
      <c r="T63" s="30">
        <f>485880</f>
        <v>485880</v>
      </c>
      <c r="U63" s="30" t="str">
        <f t="shared" si="2"/>
        <v>－</v>
      </c>
      <c r="V63" s="30">
        <f>919927720</f>
        <v>919927720</v>
      </c>
      <c r="W63" s="30" t="str">
        <f t="shared" si="3"/>
        <v>－</v>
      </c>
      <c r="X63" s="34">
        <f>20</f>
        <v>20</v>
      </c>
    </row>
    <row r="64" spans="1:24" x14ac:dyDescent="0.15">
      <c r="A64" s="25" t="s">
        <v>1014</v>
      </c>
      <c r="B64" s="25" t="s">
        <v>227</v>
      </c>
      <c r="C64" s="25" t="s">
        <v>228</v>
      </c>
      <c r="D64" s="25" t="s">
        <v>229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17555</f>
        <v>17555</v>
      </c>
      <c r="L64" s="32" t="s">
        <v>904</v>
      </c>
      <c r="M64" s="31">
        <f>18045</f>
        <v>18045</v>
      </c>
      <c r="N64" s="32" t="s">
        <v>56</v>
      </c>
      <c r="O64" s="31">
        <f>16660</f>
        <v>16660</v>
      </c>
      <c r="P64" s="32" t="s">
        <v>94</v>
      </c>
      <c r="Q64" s="31">
        <f>16770</f>
        <v>16770</v>
      </c>
      <c r="R64" s="32" t="s">
        <v>934</v>
      </c>
      <c r="S64" s="33">
        <f>17438.75</f>
        <v>17438.75</v>
      </c>
      <c r="T64" s="30">
        <f>511</f>
        <v>511</v>
      </c>
      <c r="U64" s="30" t="str">
        <f t="shared" si="2"/>
        <v>－</v>
      </c>
      <c r="V64" s="30">
        <f>8909250</f>
        <v>8909250</v>
      </c>
      <c r="W64" s="30" t="str">
        <f t="shared" si="3"/>
        <v>－</v>
      </c>
      <c r="X64" s="34">
        <f>20</f>
        <v>20</v>
      </c>
    </row>
    <row r="65" spans="1:24" x14ac:dyDescent="0.15">
      <c r="A65" s="25" t="s">
        <v>1014</v>
      </c>
      <c r="B65" s="25" t="s">
        <v>230</v>
      </c>
      <c r="C65" s="25" t="s">
        <v>231</v>
      </c>
      <c r="D65" s="25" t="s">
        <v>232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1979</f>
        <v>1979</v>
      </c>
      <c r="L65" s="32" t="s">
        <v>904</v>
      </c>
      <c r="M65" s="31">
        <f>2023</f>
        <v>2023</v>
      </c>
      <c r="N65" s="32" t="s">
        <v>56</v>
      </c>
      <c r="O65" s="31">
        <f>1870</f>
        <v>1870</v>
      </c>
      <c r="P65" s="32" t="s">
        <v>94</v>
      </c>
      <c r="Q65" s="31">
        <f>1889</f>
        <v>1889</v>
      </c>
      <c r="R65" s="32" t="s">
        <v>934</v>
      </c>
      <c r="S65" s="33">
        <f>1959.1</f>
        <v>1959.1</v>
      </c>
      <c r="T65" s="30">
        <f>6956997</f>
        <v>6956997</v>
      </c>
      <c r="U65" s="30">
        <f>1891709</f>
        <v>1891709</v>
      </c>
      <c r="V65" s="30">
        <f>13568541832</f>
        <v>13568541832</v>
      </c>
      <c r="W65" s="30">
        <f>3660048292</f>
        <v>3660048292</v>
      </c>
      <c r="X65" s="34">
        <f>20</f>
        <v>20</v>
      </c>
    </row>
    <row r="66" spans="1:24" x14ac:dyDescent="0.15">
      <c r="A66" s="25" t="s">
        <v>1014</v>
      </c>
      <c r="B66" s="25" t="s">
        <v>233</v>
      </c>
      <c r="C66" s="25" t="s">
        <v>234</v>
      </c>
      <c r="D66" s="25" t="s">
        <v>235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2104</f>
        <v>2104</v>
      </c>
      <c r="L66" s="32" t="s">
        <v>904</v>
      </c>
      <c r="M66" s="31">
        <f>2136</f>
        <v>2136</v>
      </c>
      <c r="N66" s="32" t="s">
        <v>911</v>
      </c>
      <c r="O66" s="31">
        <f>1969</f>
        <v>1969</v>
      </c>
      <c r="P66" s="32" t="s">
        <v>94</v>
      </c>
      <c r="Q66" s="31">
        <f>2016</f>
        <v>2016</v>
      </c>
      <c r="R66" s="32" t="s">
        <v>934</v>
      </c>
      <c r="S66" s="33">
        <f>2069</f>
        <v>2069</v>
      </c>
      <c r="T66" s="30">
        <f>4002334</f>
        <v>4002334</v>
      </c>
      <c r="U66" s="30">
        <f>2808869</f>
        <v>2808869</v>
      </c>
      <c r="V66" s="30">
        <f>8159484391</f>
        <v>8159484391</v>
      </c>
      <c r="W66" s="30">
        <f>5715254571</f>
        <v>5715254571</v>
      </c>
      <c r="X66" s="34">
        <f>20</f>
        <v>20</v>
      </c>
    </row>
    <row r="67" spans="1:24" x14ac:dyDescent="0.15">
      <c r="A67" s="25" t="s">
        <v>1014</v>
      </c>
      <c r="B67" s="25" t="s">
        <v>236</v>
      </c>
      <c r="C67" s="25" t="s">
        <v>237</v>
      </c>
      <c r="D67" s="25" t="s">
        <v>238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1893</f>
        <v>1893</v>
      </c>
      <c r="L67" s="32" t="s">
        <v>904</v>
      </c>
      <c r="M67" s="31">
        <f>1933</f>
        <v>1933</v>
      </c>
      <c r="N67" s="32" t="s">
        <v>911</v>
      </c>
      <c r="O67" s="31">
        <f>1817</f>
        <v>1817</v>
      </c>
      <c r="P67" s="32" t="s">
        <v>94</v>
      </c>
      <c r="Q67" s="31">
        <f>1843</f>
        <v>1843</v>
      </c>
      <c r="R67" s="32" t="s">
        <v>934</v>
      </c>
      <c r="S67" s="33">
        <f>1881.15</f>
        <v>1881.15</v>
      </c>
      <c r="T67" s="30">
        <f>15170</f>
        <v>15170</v>
      </c>
      <c r="U67" s="30">
        <f>5</f>
        <v>5</v>
      </c>
      <c r="V67" s="30">
        <f>28657677</f>
        <v>28657677</v>
      </c>
      <c r="W67" s="30">
        <f>9512</f>
        <v>9512</v>
      </c>
      <c r="X67" s="34">
        <f>20</f>
        <v>20</v>
      </c>
    </row>
    <row r="68" spans="1:24" x14ac:dyDescent="0.15">
      <c r="A68" s="25" t="s">
        <v>1014</v>
      </c>
      <c r="B68" s="25" t="s">
        <v>239</v>
      </c>
      <c r="C68" s="25" t="s">
        <v>240</v>
      </c>
      <c r="D68" s="25" t="s">
        <v>241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2380</f>
        <v>2380</v>
      </c>
      <c r="L68" s="32" t="s">
        <v>904</v>
      </c>
      <c r="M68" s="31">
        <f>2428</f>
        <v>2428</v>
      </c>
      <c r="N68" s="32" t="s">
        <v>813</v>
      </c>
      <c r="O68" s="31">
        <f>2267</f>
        <v>2267</v>
      </c>
      <c r="P68" s="32" t="s">
        <v>94</v>
      </c>
      <c r="Q68" s="31">
        <f>2296</f>
        <v>2296</v>
      </c>
      <c r="R68" s="32" t="s">
        <v>934</v>
      </c>
      <c r="S68" s="33">
        <f>2365.6</f>
        <v>2365.6</v>
      </c>
      <c r="T68" s="30">
        <f>276614</f>
        <v>276614</v>
      </c>
      <c r="U68" s="30">
        <f>24000</f>
        <v>24000</v>
      </c>
      <c r="V68" s="30">
        <f>654632395</f>
        <v>654632395</v>
      </c>
      <c r="W68" s="30">
        <f>55668000</f>
        <v>55668000</v>
      </c>
      <c r="X68" s="34">
        <f>20</f>
        <v>20</v>
      </c>
    </row>
    <row r="69" spans="1:24" x14ac:dyDescent="0.15">
      <c r="A69" s="25" t="s">
        <v>1014</v>
      </c>
      <c r="B69" s="25" t="s">
        <v>242</v>
      </c>
      <c r="C69" s="25" t="s">
        <v>243</v>
      </c>
      <c r="D69" s="25" t="s">
        <v>244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23765</f>
        <v>23765</v>
      </c>
      <c r="L69" s="32" t="s">
        <v>909</v>
      </c>
      <c r="M69" s="31">
        <f>24450</f>
        <v>24450</v>
      </c>
      <c r="N69" s="32" t="s">
        <v>813</v>
      </c>
      <c r="O69" s="31">
        <f>22650</f>
        <v>22650</v>
      </c>
      <c r="P69" s="32" t="s">
        <v>94</v>
      </c>
      <c r="Q69" s="31">
        <f>23140</f>
        <v>23140</v>
      </c>
      <c r="R69" s="32" t="s">
        <v>936</v>
      </c>
      <c r="S69" s="33">
        <f>23551.11</f>
        <v>23551.11</v>
      </c>
      <c r="T69" s="30">
        <f>12</f>
        <v>12</v>
      </c>
      <c r="U69" s="30" t="str">
        <f>"－"</f>
        <v>－</v>
      </c>
      <c r="V69" s="30">
        <f>282520</f>
        <v>282520</v>
      </c>
      <c r="W69" s="30" t="str">
        <f>"－"</f>
        <v>－</v>
      </c>
      <c r="X69" s="34">
        <f>9</f>
        <v>9</v>
      </c>
    </row>
    <row r="70" spans="1:24" x14ac:dyDescent="0.15">
      <c r="A70" s="25" t="s">
        <v>1014</v>
      </c>
      <c r="B70" s="25" t="s">
        <v>245</v>
      </c>
      <c r="C70" s="25" t="s">
        <v>246</v>
      </c>
      <c r="D70" s="25" t="s">
        <v>247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19460</f>
        <v>19460</v>
      </c>
      <c r="L70" s="32" t="s">
        <v>909</v>
      </c>
      <c r="M70" s="31">
        <f>20030</f>
        <v>20030</v>
      </c>
      <c r="N70" s="32" t="s">
        <v>56</v>
      </c>
      <c r="O70" s="31">
        <f>18805</f>
        <v>18805</v>
      </c>
      <c r="P70" s="32" t="s">
        <v>266</v>
      </c>
      <c r="Q70" s="31">
        <f>18805</f>
        <v>18805</v>
      </c>
      <c r="R70" s="32" t="s">
        <v>266</v>
      </c>
      <c r="S70" s="33">
        <f>19362.22</f>
        <v>19362.22</v>
      </c>
      <c r="T70" s="30">
        <f>48</f>
        <v>48</v>
      </c>
      <c r="U70" s="30" t="str">
        <f>"－"</f>
        <v>－</v>
      </c>
      <c r="V70" s="30">
        <f>918835</f>
        <v>918835</v>
      </c>
      <c r="W70" s="30" t="str">
        <f>"－"</f>
        <v>－</v>
      </c>
      <c r="X70" s="34">
        <f>9</f>
        <v>9</v>
      </c>
    </row>
    <row r="71" spans="1:24" x14ac:dyDescent="0.15">
      <c r="A71" s="25" t="s">
        <v>1014</v>
      </c>
      <c r="B71" s="25" t="s">
        <v>248</v>
      </c>
      <c r="C71" s="25" t="s">
        <v>249</v>
      </c>
      <c r="D71" s="25" t="s">
        <v>250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2014</f>
        <v>2014</v>
      </c>
      <c r="L71" s="32" t="s">
        <v>904</v>
      </c>
      <c r="M71" s="31">
        <f>2063</f>
        <v>2063</v>
      </c>
      <c r="N71" s="32" t="s">
        <v>66</v>
      </c>
      <c r="O71" s="31">
        <f>1918</f>
        <v>1918</v>
      </c>
      <c r="P71" s="32" t="s">
        <v>94</v>
      </c>
      <c r="Q71" s="31">
        <f>1965</f>
        <v>1965</v>
      </c>
      <c r="R71" s="32" t="s">
        <v>934</v>
      </c>
      <c r="S71" s="33">
        <f>1995.05</f>
        <v>1995.05</v>
      </c>
      <c r="T71" s="30">
        <f>1317</f>
        <v>1317</v>
      </c>
      <c r="U71" s="30" t="str">
        <f>"－"</f>
        <v>－</v>
      </c>
      <c r="V71" s="30">
        <f>2613803</f>
        <v>2613803</v>
      </c>
      <c r="W71" s="30" t="str">
        <f>"－"</f>
        <v>－</v>
      </c>
      <c r="X71" s="34">
        <f>20</f>
        <v>20</v>
      </c>
    </row>
    <row r="72" spans="1:24" x14ac:dyDescent="0.15">
      <c r="A72" s="25" t="s">
        <v>1014</v>
      </c>
      <c r="B72" s="25" t="s">
        <v>251</v>
      </c>
      <c r="C72" s="25" t="s">
        <v>252</v>
      </c>
      <c r="D72" s="25" t="s">
        <v>253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2018</f>
        <v>2018</v>
      </c>
      <c r="L72" s="32" t="s">
        <v>904</v>
      </c>
      <c r="M72" s="31">
        <f>2018</f>
        <v>2018</v>
      </c>
      <c r="N72" s="32" t="s">
        <v>904</v>
      </c>
      <c r="O72" s="31">
        <f>1881</f>
        <v>1881</v>
      </c>
      <c r="P72" s="32" t="s">
        <v>94</v>
      </c>
      <c r="Q72" s="31">
        <f>1916</f>
        <v>1916</v>
      </c>
      <c r="R72" s="32" t="s">
        <v>934</v>
      </c>
      <c r="S72" s="33">
        <f>1966.95</f>
        <v>1966.95</v>
      </c>
      <c r="T72" s="30">
        <f>9992421</f>
        <v>9992421</v>
      </c>
      <c r="U72" s="30">
        <f>8057163</f>
        <v>8057163</v>
      </c>
      <c r="V72" s="30">
        <f>19625701016</f>
        <v>19625701016</v>
      </c>
      <c r="W72" s="30">
        <f>15856769071</f>
        <v>15856769071</v>
      </c>
      <c r="X72" s="34">
        <f>20</f>
        <v>20</v>
      </c>
    </row>
    <row r="73" spans="1:24" x14ac:dyDescent="0.15">
      <c r="A73" s="25" t="s">
        <v>1014</v>
      </c>
      <c r="B73" s="25" t="s">
        <v>254</v>
      </c>
      <c r="C73" s="25" t="s">
        <v>255</v>
      </c>
      <c r="D73" s="25" t="s">
        <v>256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2245</f>
        <v>2245</v>
      </c>
      <c r="L73" s="32" t="s">
        <v>904</v>
      </c>
      <c r="M73" s="31">
        <f>2278</f>
        <v>2278</v>
      </c>
      <c r="N73" s="32" t="s">
        <v>810</v>
      </c>
      <c r="O73" s="31">
        <f>1996</f>
        <v>1996</v>
      </c>
      <c r="P73" s="32" t="s">
        <v>908</v>
      </c>
      <c r="Q73" s="31">
        <f>2024</f>
        <v>2024</v>
      </c>
      <c r="R73" s="32" t="s">
        <v>934</v>
      </c>
      <c r="S73" s="33">
        <f>2165.05</f>
        <v>2165.0500000000002</v>
      </c>
      <c r="T73" s="30">
        <f>2138</f>
        <v>2138</v>
      </c>
      <c r="U73" s="30" t="str">
        <f>"－"</f>
        <v>－</v>
      </c>
      <c r="V73" s="30">
        <f>4564589</f>
        <v>4564589</v>
      </c>
      <c r="W73" s="30" t="str">
        <f>"－"</f>
        <v>－</v>
      </c>
      <c r="X73" s="34">
        <f>20</f>
        <v>20</v>
      </c>
    </row>
    <row r="74" spans="1:24" x14ac:dyDescent="0.15">
      <c r="A74" s="25" t="s">
        <v>1014</v>
      </c>
      <c r="B74" s="25" t="s">
        <v>257</v>
      </c>
      <c r="C74" s="25" t="s">
        <v>258</v>
      </c>
      <c r="D74" s="25" t="s">
        <v>259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1983.5</f>
        <v>1983.5</v>
      </c>
      <c r="L74" s="32" t="s">
        <v>904</v>
      </c>
      <c r="M74" s="31">
        <f>2021.5</f>
        <v>2021.5</v>
      </c>
      <c r="N74" s="32" t="s">
        <v>56</v>
      </c>
      <c r="O74" s="31">
        <f>1889</f>
        <v>1889</v>
      </c>
      <c r="P74" s="32" t="s">
        <v>94</v>
      </c>
      <c r="Q74" s="31">
        <f>1914</f>
        <v>1914</v>
      </c>
      <c r="R74" s="32" t="s">
        <v>934</v>
      </c>
      <c r="S74" s="33">
        <f>1963.48</f>
        <v>1963.48</v>
      </c>
      <c r="T74" s="30">
        <f>12950</f>
        <v>12950</v>
      </c>
      <c r="U74" s="30" t="str">
        <f>"－"</f>
        <v>－</v>
      </c>
      <c r="V74" s="30">
        <f>25300170</f>
        <v>25300170</v>
      </c>
      <c r="W74" s="30" t="str">
        <f>"－"</f>
        <v>－</v>
      </c>
      <c r="X74" s="34">
        <f>20</f>
        <v>20</v>
      </c>
    </row>
    <row r="75" spans="1:24" x14ac:dyDescent="0.15">
      <c r="A75" s="25" t="s">
        <v>1014</v>
      </c>
      <c r="B75" s="25" t="s">
        <v>260</v>
      </c>
      <c r="C75" s="25" t="s">
        <v>261</v>
      </c>
      <c r="D75" s="25" t="s">
        <v>262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31080</f>
        <v>31080</v>
      </c>
      <c r="L75" s="32" t="s">
        <v>56</v>
      </c>
      <c r="M75" s="31">
        <f>32900</f>
        <v>32900</v>
      </c>
      <c r="N75" s="32" t="s">
        <v>56</v>
      </c>
      <c r="O75" s="31">
        <f>30800</f>
        <v>30800</v>
      </c>
      <c r="P75" s="32" t="s">
        <v>915</v>
      </c>
      <c r="Q75" s="31">
        <f>32190</f>
        <v>32190</v>
      </c>
      <c r="R75" s="32" t="s">
        <v>915</v>
      </c>
      <c r="S75" s="33">
        <f>32545</f>
        <v>32545</v>
      </c>
      <c r="T75" s="30">
        <f>10</f>
        <v>10</v>
      </c>
      <c r="U75" s="30" t="str">
        <f>"－"</f>
        <v>－</v>
      </c>
      <c r="V75" s="30">
        <f>321610</f>
        <v>321610</v>
      </c>
      <c r="W75" s="30" t="str">
        <f>"－"</f>
        <v>－</v>
      </c>
      <c r="X75" s="34">
        <f>2</f>
        <v>2</v>
      </c>
    </row>
    <row r="76" spans="1:24" x14ac:dyDescent="0.15">
      <c r="A76" s="25" t="s">
        <v>1014</v>
      </c>
      <c r="B76" s="25" t="s">
        <v>263</v>
      </c>
      <c r="C76" s="25" t="s">
        <v>264</v>
      </c>
      <c r="D76" s="25" t="s">
        <v>265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23250</f>
        <v>23250</v>
      </c>
      <c r="L76" s="32" t="s">
        <v>904</v>
      </c>
      <c r="M76" s="31">
        <f>24000</f>
        <v>24000</v>
      </c>
      <c r="N76" s="32" t="s">
        <v>912</v>
      </c>
      <c r="O76" s="31">
        <f>22700</f>
        <v>22700</v>
      </c>
      <c r="P76" s="32" t="s">
        <v>94</v>
      </c>
      <c r="Q76" s="31">
        <f>23060</f>
        <v>23060</v>
      </c>
      <c r="R76" s="32" t="s">
        <v>934</v>
      </c>
      <c r="S76" s="33">
        <f>23380.75</f>
        <v>23380.75</v>
      </c>
      <c r="T76" s="30">
        <f>585271</f>
        <v>585271</v>
      </c>
      <c r="U76" s="30">
        <f>319239</f>
        <v>319239</v>
      </c>
      <c r="V76" s="30">
        <f>13658960922</f>
        <v>13658960922</v>
      </c>
      <c r="W76" s="30">
        <f>7446515362</f>
        <v>7446515362</v>
      </c>
      <c r="X76" s="34">
        <f>20</f>
        <v>20</v>
      </c>
    </row>
    <row r="77" spans="1:24" x14ac:dyDescent="0.15">
      <c r="A77" s="25" t="s">
        <v>1014</v>
      </c>
      <c r="B77" s="25" t="s">
        <v>267</v>
      </c>
      <c r="C77" s="25" t="s">
        <v>268</v>
      </c>
      <c r="D77" s="25" t="s">
        <v>269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15605</f>
        <v>15605</v>
      </c>
      <c r="L77" s="32" t="s">
        <v>904</v>
      </c>
      <c r="M77" s="31">
        <f>15650</f>
        <v>15650</v>
      </c>
      <c r="N77" s="32" t="s">
        <v>810</v>
      </c>
      <c r="O77" s="31">
        <f>14535</f>
        <v>14535</v>
      </c>
      <c r="P77" s="32" t="s">
        <v>94</v>
      </c>
      <c r="Q77" s="31">
        <f>14805</f>
        <v>14805</v>
      </c>
      <c r="R77" s="32" t="s">
        <v>934</v>
      </c>
      <c r="S77" s="33">
        <f>15197</f>
        <v>15197</v>
      </c>
      <c r="T77" s="30">
        <f>430385</f>
        <v>430385</v>
      </c>
      <c r="U77" s="30">
        <f>11708</f>
        <v>11708</v>
      </c>
      <c r="V77" s="30">
        <f>6571976691</f>
        <v>6571976691</v>
      </c>
      <c r="W77" s="30">
        <f>175095921</f>
        <v>175095921</v>
      </c>
      <c r="X77" s="34">
        <f>20</f>
        <v>20</v>
      </c>
    </row>
    <row r="78" spans="1:24" x14ac:dyDescent="0.15">
      <c r="A78" s="25" t="s">
        <v>1014</v>
      </c>
      <c r="B78" s="25" t="s">
        <v>270</v>
      </c>
      <c r="C78" s="25" t="s">
        <v>271</v>
      </c>
      <c r="D78" s="25" t="s">
        <v>272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2101</f>
        <v>2101</v>
      </c>
      <c r="L78" s="32" t="s">
        <v>904</v>
      </c>
      <c r="M78" s="31">
        <f>2107</f>
        <v>2107</v>
      </c>
      <c r="N78" s="32" t="s">
        <v>904</v>
      </c>
      <c r="O78" s="31">
        <f>1960</f>
        <v>1960</v>
      </c>
      <c r="P78" s="32" t="s">
        <v>94</v>
      </c>
      <c r="Q78" s="31">
        <f>2002.5</f>
        <v>2002.5</v>
      </c>
      <c r="R78" s="32" t="s">
        <v>934</v>
      </c>
      <c r="S78" s="33">
        <f>2057.13</f>
        <v>2057.13</v>
      </c>
      <c r="T78" s="30">
        <f>1204600</f>
        <v>1204600</v>
      </c>
      <c r="U78" s="30">
        <f>410530</f>
        <v>410530</v>
      </c>
      <c r="V78" s="30">
        <f>2483532036</f>
        <v>2483532036</v>
      </c>
      <c r="W78" s="30">
        <f>848251141</f>
        <v>848251141</v>
      </c>
      <c r="X78" s="34">
        <f>20</f>
        <v>20</v>
      </c>
    </row>
    <row r="79" spans="1:24" x14ac:dyDescent="0.15">
      <c r="A79" s="25" t="s">
        <v>1014</v>
      </c>
      <c r="B79" s="25" t="s">
        <v>273</v>
      </c>
      <c r="C79" s="25" t="s">
        <v>274</v>
      </c>
      <c r="D79" s="25" t="s">
        <v>275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41840</f>
        <v>41840</v>
      </c>
      <c r="L79" s="32" t="s">
        <v>904</v>
      </c>
      <c r="M79" s="31">
        <f>42100</f>
        <v>42100</v>
      </c>
      <c r="N79" s="32" t="s">
        <v>813</v>
      </c>
      <c r="O79" s="31">
        <f>39290</f>
        <v>39290</v>
      </c>
      <c r="P79" s="32" t="s">
        <v>94</v>
      </c>
      <c r="Q79" s="31">
        <f>39720</f>
        <v>39720</v>
      </c>
      <c r="R79" s="32" t="s">
        <v>934</v>
      </c>
      <c r="S79" s="33">
        <f>41150</f>
        <v>41150</v>
      </c>
      <c r="T79" s="30">
        <f>232803</f>
        <v>232803</v>
      </c>
      <c r="U79" s="30">
        <f>90443</f>
        <v>90443</v>
      </c>
      <c r="V79" s="30">
        <f>9545895706</f>
        <v>9545895706</v>
      </c>
      <c r="W79" s="30">
        <f>3737526636</f>
        <v>3737526636</v>
      </c>
      <c r="X79" s="34">
        <f>20</f>
        <v>20</v>
      </c>
    </row>
    <row r="80" spans="1:24" x14ac:dyDescent="0.15">
      <c r="A80" s="25" t="s">
        <v>1014</v>
      </c>
      <c r="B80" s="25" t="s">
        <v>276</v>
      </c>
      <c r="C80" s="25" t="s">
        <v>277</v>
      </c>
      <c r="D80" s="25" t="s">
        <v>278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7912</f>
        <v>7912</v>
      </c>
      <c r="L80" s="32" t="s">
        <v>812</v>
      </c>
      <c r="M80" s="31">
        <f>7912</f>
        <v>7912</v>
      </c>
      <c r="N80" s="32" t="s">
        <v>812</v>
      </c>
      <c r="O80" s="31">
        <f>7912</f>
        <v>7912</v>
      </c>
      <c r="P80" s="32" t="s">
        <v>812</v>
      </c>
      <c r="Q80" s="31">
        <f>7912</f>
        <v>7912</v>
      </c>
      <c r="R80" s="32" t="s">
        <v>812</v>
      </c>
      <c r="S80" s="33">
        <f>7912</f>
        <v>7912</v>
      </c>
      <c r="T80" s="30">
        <f>26080</f>
        <v>26080</v>
      </c>
      <c r="U80" s="30">
        <f>26000</f>
        <v>26000</v>
      </c>
      <c r="V80" s="30">
        <f>207020960</f>
        <v>207020960</v>
      </c>
      <c r="W80" s="30">
        <f>206388000</f>
        <v>206388000</v>
      </c>
      <c r="X80" s="34">
        <f>1</f>
        <v>1</v>
      </c>
    </row>
    <row r="81" spans="1:24" x14ac:dyDescent="0.15">
      <c r="A81" s="25" t="s">
        <v>1014</v>
      </c>
      <c r="B81" s="25" t="s">
        <v>279</v>
      </c>
      <c r="C81" s="25" t="s">
        <v>280</v>
      </c>
      <c r="D81" s="25" t="s">
        <v>281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15840</f>
        <v>15840</v>
      </c>
      <c r="L81" s="32" t="s">
        <v>904</v>
      </c>
      <c r="M81" s="31">
        <f>15935</f>
        <v>15935</v>
      </c>
      <c r="N81" s="32" t="s">
        <v>56</v>
      </c>
      <c r="O81" s="31">
        <f>14970</f>
        <v>14970</v>
      </c>
      <c r="P81" s="32" t="s">
        <v>810</v>
      </c>
      <c r="Q81" s="31">
        <f>15200</f>
        <v>15200</v>
      </c>
      <c r="R81" s="32" t="s">
        <v>934</v>
      </c>
      <c r="S81" s="33">
        <f>15532.75</f>
        <v>15532.75</v>
      </c>
      <c r="T81" s="30">
        <f>575</f>
        <v>575</v>
      </c>
      <c r="U81" s="30" t="str">
        <f>"－"</f>
        <v>－</v>
      </c>
      <c r="V81" s="30">
        <f>8907080</f>
        <v>8907080</v>
      </c>
      <c r="W81" s="30" t="str">
        <f>"－"</f>
        <v>－</v>
      </c>
      <c r="X81" s="34">
        <f>20</f>
        <v>20</v>
      </c>
    </row>
    <row r="82" spans="1:24" x14ac:dyDescent="0.15">
      <c r="A82" s="25" t="s">
        <v>1014</v>
      </c>
      <c r="B82" s="25" t="s">
        <v>282</v>
      </c>
      <c r="C82" s="25" t="s">
        <v>283</v>
      </c>
      <c r="D82" s="25" t="s">
        <v>284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15560</f>
        <v>15560</v>
      </c>
      <c r="L82" s="32" t="s">
        <v>904</v>
      </c>
      <c r="M82" s="31">
        <f>15835</f>
        <v>15835</v>
      </c>
      <c r="N82" s="32" t="s">
        <v>56</v>
      </c>
      <c r="O82" s="31">
        <f>14760</f>
        <v>14760</v>
      </c>
      <c r="P82" s="32" t="s">
        <v>94</v>
      </c>
      <c r="Q82" s="31">
        <f>15025</f>
        <v>15025</v>
      </c>
      <c r="R82" s="32" t="s">
        <v>934</v>
      </c>
      <c r="S82" s="33">
        <f>15365.75</f>
        <v>15365.75</v>
      </c>
      <c r="T82" s="30">
        <f>1742</f>
        <v>1742</v>
      </c>
      <c r="U82" s="30" t="str">
        <f>"－"</f>
        <v>－</v>
      </c>
      <c r="V82" s="30">
        <f>26296745</f>
        <v>26296745</v>
      </c>
      <c r="W82" s="30" t="str">
        <f>"－"</f>
        <v>－</v>
      </c>
      <c r="X82" s="34">
        <f>20</f>
        <v>20</v>
      </c>
    </row>
    <row r="83" spans="1:24" x14ac:dyDescent="0.15">
      <c r="A83" s="25" t="s">
        <v>1014</v>
      </c>
      <c r="B83" s="25" t="s">
        <v>285</v>
      </c>
      <c r="C83" s="25" t="s">
        <v>286</v>
      </c>
      <c r="D83" s="25" t="s">
        <v>287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20330</f>
        <v>20330</v>
      </c>
      <c r="L83" s="32" t="s">
        <v>904</v>
      </c>
      <c r="M83" s="31">
        <f>20895</f>
        <v>20895</v>
      </c>
      <c r="N83" s="32" t="s">
        <v>908</v>
      </c>
      <c r="O83" s="31">
        <f>19660</f>
        <v>19660</v>
      </c>
      <c r="P83" s="32" t="s">
        <v>94</v>
      </c>
      <c r="Q83" s="31">
        <f>20055</f>
        <v>20055</v>
      </c>
      <c r="R83" s="32" t="s">
        <v>934</v>
      </c>
      <c r="S83" s="33">
        <f>20372.75</f>
        <v>20372.75</v>
      </c>
      <c r="T83" s="30">
        <f>11350</f>
        <v>11350</v>
      </c>
      <c r="U83" s="30">
        <f>11</f>
        <v>11</v>
      </c>
      <c r="V83" s="30">
        <f>229671935</f>
        <v>229671935</v>
      </c>
      <c r="W83" s="30">
        <f>222885</f>
        <v>222885</v>
      </c>
      <c r="X83" s="34">
        <f>20</f>
        <v>20</v>
      </c>
    </row>
    <row r="84" spans="1:24" x14ac:dyDescent="0.15">
      <c r="A84" s="25" t="s">
        <v>1014</v>
      </c>
      <c r="B84" s="25" t="s">
        <v>288</v>
      </c>
      <c r="C84" s="25" t="s">
        <v>289</v>
      </c>
      <c r="D84" s="25" t="s">
        <v>290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11500</f>
        <v>11500</v>
      </c>
      <c r="L84" s="32" t="s">
        <v>904</v>
      </c>
      <c r="M84" s="31">
        <f>11970</f>
        <v>11970</v>
      </c>
      <c r="N84" s="32" t="s">
        <v>812</v>
      </c>
      <c r="O84" s="31">
        <f>11000</f>
        <v>11000</v>
      </c>
      <c r="P84" s="32" t="s">
        <v>936</v>
      </c>
      <c r="Q84" s="31">
        <f>11100</f>
        <v>11100</v>
      </c>
      <c r="R84" s="32" t="s">
        <v>934</v>
      </c>
      <c r="S84" s="33">
        <f>11620.5</f>
        <v>11620.5</v>
      </c>
      <c r="T84" s="30">
        <f>6840</f>
        <v>6840</v>
      </c>
      <c r="U84" s="30" t="str">
        <f>"－"</f>
        <v>－</v>
      </c>
      <c r="V84" s="30">
        <f>78854300</f>
        <v>78854300</v>
      </c>
      <c r="W84" s="30" t="str">
        <f>"－"</f>
        <v>－</v>
      </c>
      <c r="X84" s="34">
        <f>20</f>
        <v>20</v>
      </c>
    </row>
    <row r="85" spans="1:24" x14ac:dyDescent="0.15">
      <c r="A85" s="25" t="s">
        <v>1014</v>
      </c>
      <c r="B85" s="25" t="s">
        <v>291</v>
      </c>
      <c r="C85" s="25" t="s">
        <v>292</v>
      </c>
      <c r="D85" s="25" t="s">
        <v>293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2083</f>
        <v>2083</v>
      </c>
      <c r="L85" s="32" t="s">
        <v>904</v>
      </c>
      <c r="M85" s="31">
        <f>2083</f>
        <v>2083</v>
      </c>
      <c r="N85" s="32" t="s">
        <v>904</v>
      </c>
      <c r="O85" s="31">
        <f>1911</f>
        <v>1911</v>
      </c>
      <c r="P85" s="32" t="s">
        <v>94</v>
      </c>
      <c r="Q85" s="31">
        <f>1938</f>
        <v>1938</v>
      </c>
      <c r="R85" s="32" t="s">
        <v>934</v>
      </c>
      <c r="S85" s="33">
        <f>2023</f>
        <v>2023</v>
      </c>
      <c r="T85" s="30">
        <f>370867</f>
        <v>370867</v>
      </c>
      <c r="U85" s="30">
        <f>98275</f>
        <v>98275</v>
      </c>
      <c r="V85" s="30">
        <f>744733685</f>
        <v>744733685</v>
      </c>
      <c r="W85" s="30">
        <f>200750089</f>
        <v>200750089</v>
      </c>
      <c r="X85" s="34">
        <f>20</f>
        <v>20</v>
      </c>
    </row>
    <row r="86" spans="1:24" x14ac:dyDescent="0.15">
      <c r="A86" s="25" t="s">
        <v>1014</v>
      </c>
      <c r="B86" s="25" t="s">
        <v>294</v>
      </c>
      <c r="C86" s="25" t="s">
        <v>295</v>
      </c>
      <c r="D86" s="25" t="s">
        <v>296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1986</f>
        <v>1986</v>
      </c>
      <c r="L86" s="32" t="s">
        <v>904</v>
      </c>
      <c r="M86" s="31">
        <f>2030</f>
        <v>2030</v>
      </c>
      <c r="N86" s="32" t="s">
        <v>813</v>
      </c>
      <c r="O86" s="31">
        <f>1873</f>
        <v>1873</v>
      </c>
      <c r="P86" s="32" t="s">
        <v>94</v>
      </c>
      <c r="Q86" s="31">
        <f>1898</f>
        <v>1898</v>
      </c>
      <c r="R86" s="32" t="s">
        <v>934</v>
      </c>
      <c r="S86" s="33">
        <f>1959.7</f>
        <v>1959.7</v>
      </c>
      <c r="T86" s="30">
        <f>399871</f>
        <v>399871</v>
      </c>
      <c r="U86" s="30">
        <f>360</f>
        <v>360</v>
      </c>
      <c r="V86" s="30">
        <f>777680210</f>
        <v>777680210</v>
      </c>
      <c r="W86" s="30">
        <f>662640</f>
        <v>662640</v>
      </c>
      <c r="X86" s="34">
        <f>20</f>
        <v>20</v>
      </c>
    </row>
    <row r="87" spans="1:24" x14ac:dyDescent="0.15">
      <c r="A87" s="25" t="s">
        <v>1014</v>
      </c>
      <c r="B87" s="25" t="s">
        <v>297</v>
      </c>
      <c r="C87" s="25" t="s">
        <v>298</v>
      </c>
      <c r="D87" s="25" t="s">
        <v>299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14805</f>
        <v>14805</v>
      </c>
      <c r="L87" s="32" t="s">
        <v>904</v>
      </c>
      <c r="M87" s="31">
        <f>15055</f>
        <v>15055</v>
      </c>
      <c r="N87" s="32" t="s">
        <v>813</v>
      </c>
      <c r="O87" s="31">
        <f>13900</f>
        <v>13900</v>
      </c>
      <c r="P87" s="32" t="s">
        <v>94</v>
      </c>
      <c r="Q87" s="31">
        <f>13995</f>
        <v>13995</v>
      </c>
      <c r="R87" s="32" t="s">
        <v>934</v>
      </c>
      <c r="S87" s="33">
        <f>14598.25</f>
        <v>14598.25</v>
      </c>
      <c r="T87" s="30">
        <f>23049</f>
        <v>23049</v>
      </c>
      <c r="U87" s="30">
        <f>7062</f>
        <v>7062</v>
      </c>
      <c r="V87" s="30">
        <f>332279761</f>
        <v>332279761</v>
      </c>
      <c r="W87" s="30">
        <f>99913176</f>
        <v>99913176</v>
      </c>
      <c r="X87" s="34">
        <f>20</f>
        <v>20</v>
      </c>
    </row>
    <row r="88" spans="1:24" x14ac:dyDescent="0.15">
      <c r="A88" s="25" t="s">
        <v>1014</v>
      </c>
      <c r="B88" s="25" t="s">
        <v>300</v>
      </c>
      <c r="C88" s="25" t="s">
        <v>301</v>
      </c>
      <c r="D88" s="25" t="s">
        <v>302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8987</f>
        <v>8987</v>
      </c>
      <c r="L88" s="32" t="s">
        <v>904</v>
      </c>
      <c r="M88" s="31">
        <f>9200</f>
        <v>9200</v>
      </c>
      <c r="N88" s="32" t="s">
        <v>813</v>
      </c>
      <c r="O88" s="31">
        <f>8838</f>
        <v>8838</v>
      </c>
      <c r="P88" s="32" t="s">
        <v>695</v>
      </c>
      <c r="Q88" s="31">
        <f>8990</f>
        <v>8990</v>
      </c>
      <c r="R88" s="32" t="s">
        <v>934</v>
      </c>
      <c r="S88" s="33">
        <f>8950.05</f>
        <v>8950.0499999999993</v>
      </c>
      <c r="T88" s="30">
        <f>2304</f>
        <v>2304</v>
      </c>
      <c r="U88" s="30">
        <f>3</f>
        <v>3</v>
      </c>
      <c r="V88" s="30">
        <f>20646681</f>
        <v>20646681</v>
      </c>
      <c r="W88" s="30">
        <f>26988</f>
        <v>26988</v>
      </c>
      <c r="X88" s="34">
        <f>20</f>
        <v>20</v>
      </c>
    </row>
    <row r="89" spans="1:24" x14ac:dyDescent="0.15">
      <c r="A89" s="25" t="s">
        <v>1014</v>
      </c>
      <c r="B89" s="25" t="s">
        <v>303</v>
      </c>
      <c r="C89" s="25" t="s">
        <v>304</v>
      </c>
      <c r="D89" s="25" t="s">
        <v>305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7274</f>
        <v>7274</v>
      </c>
      <c r="L89" s="32" t="s">
        <v>904</v>
      </c>
      <c r="M89" s="31">
        <f>7562</f>
        <v>7562</v>
      </c>
      <c r="N89" s="32" t="s">
        <v>912</v>
      </c>
      <c r="O89" s="31">
        <f>7154</f>
        <v>7154</v>
      </c>
      <c r="P89" s="32" t="s">
        <v>812</v>
      </c>
      <c r="Q89" s="31">
        <f>7350</f>
        <v>7350</v>
      </c>
      <c r="R89" s="32" t="s">
        <v>934</v>
      </c>
      <c r="S89" s="33">
        <f>7351.7</f>
        <v>7351.7</v>
      </c>
      <c r="T89" s="30">
        <f>1353816</f>
        <v>1353816</v>
      </c>
      <c r="U89" s="30">
        <f>50743</f>
        <v>50743</v>
      </c>
      <c r="V89" s="30">
        <f>9926272690</f>
        <v>9926272690</v>
      </c>
      <c r="W89" s="30">
        <f>366387224</f>
        <v>366387224</v>
      </c>
      <c r="X89" s="34">
        <f>20</f>
        <v>20</v>
      </c>
    </row>
    <row r="90" spans="1:24" x14ac:dyDescent="0.15">
      <c r="A90" s="25" t="s">
        <v>1014</v>
      </c>
      <c r="B90" s="25" t="s">
        <v>306</v>
      </c>
      <c r="C90" s="25" t="s">
        <v>307</v>
      </c>
      <c r="D90" s="25" t="s">
        <v>308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3555</f>
        <v>3555</v>
      </c>
      <c r="L90" s="32" t="s">
        <v>904</v>
      </c>
      <c r="M90" s="31">
        <f>3870</f>
        <v>3870</v>
      </c>
      <c r="N90" s="32" t="s">
        <v>66</v>
      </c>
      <c r="O90" s="31">
        <f>3500</f>
        <v>3500</v>
      </c>
      <c r="P90" s="32" t="s">
        <v>909</v>
      </c>
      <c r="Q90" s="31">
        <f>3710</f>
        <v>3710</v>
      </c>
      <c r="R90" s="32" t="s">
        <v>934</v>
      </c>
      <c r="S90" s="33">
        <f>3693.25</f>
        <v>3693.25</v>
      </c>
      <c r="T90" s="30">
        <f>813557</f>
        <v>813557</v>
      </c>
      <c r="U90" s="30">
        <f>1</f>
        <v>1</v>
      </c>
      <c r="V90" s="30">
        <f>3016092780</f>
        <v>3016092780</v>
      </c>
      <c r="W90" s="30">
        <f>3770</f>
        <v>3770</v>
      </c>
      <c r="X90" s="34">
        <f>20</f>
        <v>20</v>
      </c>
    </row>
    <row r="91" spans="1:24" x14ac:dyDescent="0.15">
      <c r="A91" s="25" t="s">
        <v>1014</v>
      </c>
      <c r="B91" s="25" t="s">
        <v>309</v>
      </c>
      <c r="C91" s="25" t="s">
        <v>310</v>
      </c>
      <c r="D91" s="25" t="s">
        <v>311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7565</f>
        <v>7565</v>
      </c>
      <c r="L91" s="32" t="s">
        <v>904</v>
      </c>
      <c r="M91" s="31">
        <f>8465</f>
        <v>8465</v>
      </c>
      <c r="N91" s="32" t="s">
        <v>56</v>
      </c>
      <c r="O91" s="31">
        <f>7450</f>
        <v>7450</v>
      </c>
      <c r="P91" s="32" t="s">
        <v>904</v>
      </c>
      <c r="Q91" s="31">
        <f>8150</f>
        <v>8150</v>
      </c>
      <c r="R91" s="32" t="s">
        <v>934</v>
      </c>
      <c r="S91" s="33">
        <f>8005.55</f>
        <v>8005.55</v>
      </c>
      <c r="T91" s="30">
        <f>251655</f>
        <v>251655</v>
      </c>
      <c r="U91" s="30" t="str">
        <f>"－"</f>
        <v>－</v>
      </c>
      <c r="V91" s="30">
        <f>2010272268</f>
        <v>2010272268</v>
      </c>
      <c r="W91" s="30" t="str">
        <f>"－"</f>
        <v>－</v>
      </c>
      <c r="X91" s="34">
        <f>20</f>
        <v>20</v>
      </c>
    </row>
    <row r="92" spans="1:24" x14ac:dyDescent="0.15">
      <c r="A92" s="25" t="s">
        <v>1014</v>
      </c>
      <c r="B92" s="25" t="s">
        <v>312</v>
      </c>
      <c r="C92" s="25" t="s">
        <v>313</v>
      </c>
      <c r="D92" s="25" t="s">
        <v>314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82430</f>
        <v>82430</v>
      </c>
      <c r="L92" s="32" t="s">
        <v>904</v>
      </c>
      <c r="M92" s="31">
        <f>90840</f>
        <v>90840</v>
      </c>
      <c r="N92" s="32" t="s">
        <v>56</v>
      </c>
      <c r="O92" s="31">
        <f>80510</f>
        <v>80510</v>
      </c>
      <c r="P92" s="32" t="s">
        <v>810</v>
      </c>
      <c r="Q92" s="31">
        <f>88000</f>
        <v>88000</v>
      </c>
      <c r="R92" s="32" t="s">
        <v>934</v>
      </c>
      <c r="S92" s="33">
        <f>84902</f>
        <v>84902</v>
      </c>
      <c r="T92" s="30">
        <f>6787</f>
        <v>6787</v>
      </c>
      <c r="U92" s="30">
        <f>1</f>
        <v>1</v>
      </c>
      <c r="V92" s="30">
        <f>582685350</f>
        <v>582685350</v>
      </c>
      <c r="W92" s="30">
        <f>83250</f>
        <v>83250</v>
      </c>
      <c r="X92" s="34">
        <f>20</f>
        <v>20</v>
      </c>
    </row>
    <row r="93" spans="1:24" x14ac:dyDescent="0.15">
      <c r="A93" s="25" t="s">
        <v>1014</v>
      </c>
      <c r="B93" s="25" t="s">
        <v>315</v>
      </c>
      <c r="C93" s="25" t="s">
        <v>940</v>
      </c>
      <c r="D93" s="25" t="s">
        <v>941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17170</f>
        <v>17170</v>
      </c>
      <c r="L93" s="32" t="s">
        <v>904</v>
      </c>
      <c r="M93" s="31">
        <f>18450</f>
        <v>18450</v>
      </c>
      <c r="N93" s="32" t="s">
        <v>56</v>
      </c>
      <c r="O93" s="31">
        <f>16310</f>
        <v>16310</v>
      </c>
      <c r="P93" s="32" t="s">
        <v>812</v>
      </c>
      <c r="Q93" s="31">
        <f>16365</f>
        <v>16365</v>
      </c>
      <c r="R93" s="32" t="s">
        <v>934</v>
      </c>
      <c r="S93" s="33">
        <f>17282.25</f>
        <v>17282.25</v>
      </c>
      <c r="T93" s="30">
        <f>2087941</f>
        <v>2087941</v>
      </c>
      <c r="U93" s="30">
        <f>20514</f>
        <v>20514</v>
      </c>
      <c r="V93" s="30">
        <f>35960007838</f>
        <v>35960007838</v>
      </c>
      <c r="W93" s="30">
        <f>340941588</f>
        <v>340941588</v>
      </c>
      <c r="X93" s="34">
        <f>20</f>
        <v>20</v>
      </c>
    </row>
    <row r="94" spans="1:24" x14ac:dyDescent="0.15">
      <c r="A94" s="25" t="s">
        <v>1014</v>
      </c>
      <c r="B94" s="25" t="s">
        <v>318</v>
      </c>
      <c r="C94" s="25" t="s">
        <v>942</v>
      </c>
      <c r="D94" s="25" t="s">
        <v>943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42550</f>
        <v>42550</v>
      </c>
      <c r="L94" s="32" t="s">
        <v>904</v>
      </c>
      <c r="M94" s="31">
        <f>44950</f>
        <v>44950</v>
      </c>
      <c r="N94" s="32" t="s">
        <v>56</v>
      </c>
      <c r="O94" s="31">
        <f>40650</f>
        <v>40650</v>
      </c>
      <c r="P94" s="32" t="s">
        <v>94</v>
      </c>
      <c r="Q94" s="31">
        <f>40970</f>
        <v>40970</v>
      </c>
      <c r="R94" s="32" t="s">
        <v>934</v>
      </c>
      <c r="S94" s="33">
        <f>42872.5</f>
        <v>42872.5</v>
      </c>
      <c r="T94" s="30">
        <f>182769</f>
        <v>182769</v>
      </c>
      <c r="U94" s="30">
        <f>8602</f>
        <v>8602</v>
      </c>
      <c r="V94" s="30">
        <f>7774160880</f>
        <v>7774160880</v>
      </c>
      <c r="W94" s="30">
        <f>365867300</f>
        <v>365867300</v>
      </c>
      <c r="X94" s="34">
        <f>20</f>
        <v>20</v>
      </c>
    </row>
    <row r="95" spans="1:24" x14ac:dyDescent="0.15">
      <c r="A95" s="25" t="s">
        <v>1014</v>
      </c>
      <c r="B95" s="25" t="s">
        <v>321</v>
      </c>
      <c r="C95" s="25" t="s">
        <v>322</v>
      </c>
      <c r="D95" s="25" t="s">
        <v>323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5987</f>
        <v>5987</v>
      </c>
      <c r="L95" s="32" t="s">
        <v>904</v>
      </c>
      <c r="M95" s="31">
        <f>6417</f>
        <v>6417</v>
      </c>
      <c r="N95" s="32" t="s">
        <v>56</v>
      </c>
      <c r="O95" s="31">
        <f>5713</f>
        <v>5713</v>
      </c>
      <c r="P95" s="32" t="s">
        <v>94</v>
      </c>
      <c r="Q95" s="31">
        <f>5749</f>
        <v>5749</v>
      </c>
      <c r="R95" s="32" t="s">
        <v>934</v>
      </c>
      <c r="S95" s="33">
        <f>6055.35</f>
        <v>6055.35</v>
      </c>
      <c r="T95" s="30">
        <f>2019850</f>
        <v>2019850</v>
      </c>
      <c r="U95" s="30" t="str">
        <f>"－"</f>
        <v>－</v>
      </c>
      <c r="V95" s="30">
        <f>12264903140</f>
        <v>12264903140</v>
      </c>
      <c r="W95" s="30" t="str">
        <f>"－"</f>
        <v>－</v>
      </c>
      <c r="X95" s="34">
        <f>20</f>
        <v>20</v>
      </c>
    </row>
    <row r="96" spans="1:24" x14ac:dyDescent="0.15">
      <c r="A96" s="25" t="s">
        <v>1014</v>
      </c>
      <c r="B96" s="25" t="s">
        <v>324</v>
      </c>
      <c r="C96" s="25" t="s">
        <v>325</v>
      </c>
      <c r="D96" s="25" t="s">
        <v>326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3781</f>
        <v>3781</v>
      </c>
      <c r="L96" s="32" t="s">
        <v>904</v>
      </c>
      <c r="M96" s="31">
        <f>4012</f>
        <v>4012</v>
      </c>
      <c r="N96" s="32" t="s">
        <v>56</v>
      </c>
      <c r="O96" s="31">
        <f>3505</f>
        <v>3505</v>
      </c>
      <c r="P96" s="32" t="s">
        <v>812</v>
      </c>
      <c r="Q96" s="31">
        <f>3595</f>
        <v>3595</v>
      </c>
      <c r="R96" s="32" t="s">
        <v>934</v>
      </c>
      <c r="S96" s="33">
        <f>3785.2</f>
        <v>3785.2</v>
      </c>
      <c r="T96" s="30">
        <f>136740</f>
        <v>136740</v>
      </c>
      <c r="U96" s="30" t="str">
        <f>"－"</f>
        <v>－</v>
      </c>
      <c r="V96" s="30">
        <f>517254150</f>
        <v>517254150</v>
      </c>
      <c r="W96" s="30" t="str">
        <f>"－"</f>
        <v>－</v>
      </c>
      <c r="X96" s="34">
        <f>20</f>
        <v>20</v>
      </c>
    </row>
    <row r="97" spans="1:24" x14ac:dyDescent="0.15">
      <c r="A97" s="25" t="s">
        <v>1014</v>
      </c>
      <c r="B97" s="25" t="s">
        <v>327</v>
      </c>
      <c r="C97" s="25" t="s">
        <v>328</v>
      </c>
      <c r="D97" s="25" t="s">
        <v>329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4474</f>
        <v>4474</v>
      </c>
      <c r="L97" s="32" t="s">
        <v>904</v>
      </c>
      <c r="M97" s="31">
        <f>4537</f>
        <v>4537</v>
      </c>
      <c r="N97" s="32" t="s">
        <v>915</v>
      </c>
      <c r="O97" s="31">
        <f>4063</f>
        <v>4063</v>
      </c>
      <c r="P97" s="32" t="s">
        <v>934</v>
      </c>
      <c r="Q97" s="31">
        <f>4063</f>
        <v>4063</v>
      </c>
      <c r="R97" s="32" t="s">
        <v>934</v>
      </c>
      <c r="S97" s="33">
        <f>4335.6</f>
        <v>4335.6000000000004</v>
      </c>
      <c r="T97" s="30">
        <f>5350</f>
        <v>5350</v>
      </c>
      <c r="U97" s="30" t="str">
        <f>"－"</f>
        <v>－</v>
      </c>
      <c r="V97" s="30">
        <f>23081960</f>
        <v>23081960</v>
      </c>
      <c r="W97" s="30" t="str">
        <f>"－"</f>
        <v>－</v>
      </c>
      <c r="X97" s="34">
        <f>20</f>
        <v>20</v>
      </c>
    </row>
    <row r="98" spans="1:24" x14ac:dyDescent="0.15">
      <c r="A98" s="25" t="s">
        <v>1014</v>
      </c>
      <c r="B98" s="25" t="s">
        <v>330</v>
      </c>
      <c r="C98" s="25" t="s">
        <v>331</v>
      </c>
      <c r="D98" s="25" t="s">
        <v>332</v>
      </c>
      <c r="E98" s="26" t="s">
        <v>45</v>
      </c>
      <c r="F98" s="27" t="s">
        <v>45</v>
      </c>
      <c r="G98" s="28" t="s">
        <v>45</v>
      </c>
      <c r="H98" s="29" t="s">
        <v>333</v>
      </c>
      <c r="I98" s="29" t="s">
        <v>46</v>
      </c>
      <c r="J98" s="30">
        <v>1</v>
      </c>
      <c r="K98" s="31">
        <f>2036</f>
        <v>2036</v>
      </c>
      <c r="L98" s="32" t="s">
        <v>904</v>
      </c>
      <c r="M98" s="31">
        <f>2461</f>
        <v>2461</v>
      </c>
      <c r="N98" s="32" t="s">
        <v>94</v>
      </c>
      <c r="O98" s="31">
        <f>1908</f>
        <v>1908</v>
      </c>
      <c r="P98" s="32" t="s">
        <v>56</v>
      </c>
      <c r="Q98" s="31">
        <f>2394</f>
        <v>2394</v>
      </c>
      <c r="R98" s="32" t="s">
        <v>934</v>
      </c>
      <c r="S98" s="33">
        <f>2120.05</f>
        <v>2120.0500000000002</v>
      </c>
      <c r="T98" s="30">
        <f>44254959</f>
        <v>44254959</v>
      </c>
      <c r="U98" s="30">
        <f>100702</f>
        <v>100702</v>
      </c>
      <c r="V98" s="30">
        <f>95390888564</f>
        <v>95390888564</v>
      </c>
      <c r="W98" s="30">
        <f>236498714</f>
        <v>236498714</v>
      </c>
      <c r="X98" s="34">
        <f>20</f>
        <v>20</v>
      </c>
    </row>
    <row r="99" spans="1:24" x14ac:dyDescent="0.15">
      <c r="A99" s="25" t="s">
        <v>1014</v>
      </c>
      <c r="B99" s="25" t="s">
        <v>334</v>
      </c>
      <c r="C99" s="25" t="s">
        <v>335</v>
      </c>
      <c r="D99" s="25" t="s">
        <v>336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3207</f>
        <v>3207</v>
      </c>
      <c r="L99" s="32" t="s">
        <v>904</v>
      </c>
      <c r="M99" s="31">
        <f>3410</f>
        <v>3410</v>
      </c>
      <c r="N99" s="32" t="s">
        <v>56</v>
      </c>
      <c r="O99" s="31">
        <f>3015</f>
        <v>3015</v>
      </c>
      <c r="P99" s="32" t="s">
        <v>94</v>
      </c>
      <c r="Q99" s="31">
        <f>3044</f>
        <v>3044</v>
      </c>
      <c r="R99" s="32" t="s">
        <v>934</v>
      </c>
      <c r="S99" s="33">
        <f>3213.5</f>
        <v>3213.5</v>
      </c>
      <c r="T99" s="30">
        <f>162660</f>
        <v>162660</v>
      </c>
      <c r="U99" s="30" t="str">
        <f>"－"</f>
        <v>－</v>
      </c>
      <c r="V99" s="30">
        <f>515410180</f>
        <v>515410180</v>
      </c>
      <c r="W99" s="30" t="str">
        <f>"－"</f>
        <v>－</v>
      </c>
      <c r="X99" s="34">
        <f>20</f>
        <v>20</v>
      </c>
    </row>
    <row r="100" spans="1:24" x14ac:dyDescent="0.15">
      <c r="A100" s="25" t="s">
        <v>1014</v>
      </c>
      <c r="B100" s="25" t="s">
        <v>337</v>
      </c>
      <c r="C100" s="25" t="s">
        <v>338</v>
      </c>
      <c r="D100" s="25" t="s">
        <v>339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1765</f>
        <v>1765</v>
      </c>
      <c r="L100" s="32" t="s">
        <v>904</v>
      </c>
      <c r="M100" s="31">
        <f>1824</f>
        <v>1824</v>
      </c>
      <c r="N100" s="32" t="s">
        <v>56</v>
      </c>
      <c r="O100" s="31">
        <f>1488.5</f>
        <v>1488.5</v>
      </c>
      <c r="P100" s="32" t="s">
        <v>94</v>
      </c>
      <c r="Q100" s="31">
        <f>1531.5</f>
        <v>1531.5</v>
      </c>
      <c r="R100" s="32" t="s">
        <v>934</v>
      </c>
      <c r="S100" s="33">
        <f>1689</f>
        <v>1689</v>
      </c>
      <c r="T100" s="30">
        <f>312580</f>
        <v>312580</v>
      </c>
      <c r="U100" s="30">
        <f>720</f>
        <v>720</v>
      </c>
      <c r="V100" s="30">
        <f>513920270</f>
        <v>513920270</v>
      </c>
      <c r="W100" s="30">
        <f>1092350</f>
        <v>1092350</v>
      </c>
      <c r="X100" s="34">
        <f>20</f>
        <v>20</v>
      </c>
    </row>
    <row r="101" spans="1:24" x14ac:dyDescent="0.15">
      <c r="A101" s="25" t="s">
        <v>1014</v>
      </c>
      <c r="B101" s="25" t="s">
        <v>340</v>
      </c>
      <c r="C101" s="25" t="s">
        <v>341</v>
      </c>
      <c r="D101" s="25" t="s">
        <v>342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54810</f>
        <v>54810</v>
      </c>
      <c r="L101" s="32" t="s">
        <v>904</v>
      </c>
      <c r="M101" s="31">
        <f>58730</f>
        <v>58730</v>
      </c>
      <c r="N101" s="32" t="s">
        <v>56</v>
      </c>
      <c r="O101" s="31">
        <f>52080</f>
        <v>52080</v>
      </c>
      <c r="P101" s="32" t="s">
        <v>94</v>
      </c>
      <c r="Q101" s="31">
        <f>52420</f>
        <v>52420</v>
      </c>
      <c r="R101" s="32" t="s">
        <v>934</v>
      </c>
      <c r="S101" s="33">
        <f>55328.5</f>
        <v>55328.5</v>
      </c>
      <c r="T101" s="30">
        <f>137646</f>
        <v>137646</v>
      </c>
      <c r="U101" s="30" t="str">
        <f>"－"</f>
        <v>－</v>
      </c>
      <c r="V101" s="30">
        <f>7663546300</f>
        <v>7663546300</v>
      </c>
      <c r="W101" s="30" t="str">
        <f>"－"</f>
        <v>－</v>
      </c>
      <c r="X101" s="34">
        <f>20</f>
        <v>20</v>
      </c>
    </row>
    <row r="102" spans="1:24" x14ac:dyDescent="0.15">
      <c r="A102" s="25" t="s">
        <v>1014</v>
      </c>
      <c r="B102" s="25" t="s">
        <v>343</v>
      </c>
      <c r="C102" s="25" t="s">
        <v>344</v>
      </c>
      <c r="D102" s="25" t="s">
        <v>345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3310</f>
        <v>3310</v>
      </c>
      <c r="L102" s="32" t="s">
        <v>904</v>
      </c>
      <c r="M102" s="31">
        <f>3405</f>
        <v>3405</v>
      </c>
      <c r="N102" s="32" t="s">
        <v>912</v>
      </c>
      <c r="O102" s="31">
        <f>3190</f>
        <v>3190</v>
      </c>
      <c r="P102" s="32" t="s">
        <v>934</v>
      </c>
      <c r="Q102" s="31">
        <f>3210</f>
        <v>3210</v>
      </c>
      <c r="R102" s="32" t="s">
        <v>934</v>
      </c>
      <c r="S102" s="33">
        <f>3319</f>
        <v>3319</v>
      </c>
      <c r="T102" s="30">
        <f>5639</f>
        <v>5639</v>
      </c>
      <c r="U102" s="30" t="str">
        <f>"－"</f>
        <v>－</v>
      </c>
      <c r="V102" s="30">
        <f>18665165</f>
        <v>18665165</v>
      </c>
      <c r="W102" s="30" t="str">
        <f>"－"</f>
        <v>－</v>
      </c>
      <c r="X102" s="34">
        <f>20</f>
        <v>20</v>
      </c>
    </row>
    <row r="103" spans="1:24" x14ac:dyDescent="0.15">
      <c r="A103" s="25" t="s">
        <v>1014</v>
      </c>
      <c r="B103" s="25" t="s">
        <v>346</v>
      </c>
      <c r="C103" s="25" t="s">
        <v>347</v>
      </c>
      <c r="D103" s="25" t="s">
        <v>348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4345</f>
        <v>4345</v>
      </c>
      <c r="L103" s="32" t="s">
        <v>904</v>
      </c>
      <c r="M103" s="31">
        <f>4455</f>
        <v>4455</v>
      </c>
      <c r="N103" s="32" t="s">
        <v>813</v>
      </c>
      <c r="O103" s="31">
        <f>4105</f>
        <v>4105</v>
      </c>
      <c r="P103" s="32" t="s">
        <v>934</v>
      </c>
      <c r="Q103" s="31">
        <f>4130</f>
        <v>4130</v>
      </c>
      <c r="R103" s="32" t="s">
        <v>934</v>
      </c>
      <c r="S103" s="33">
        <f>4360</f>
        <v>4360</v>
      </c>
      <c r="T103" s="30">
        <f>5755</f>
        <v>5755</v>
      </c>
      <c r="U103" s="30" t="str">
        <f>"－"</f>
        <v>－</v>
      </c>
      <c r="V103" s="30">
        <f>24578610</f>
        <v>24578610</v>
      </c>
      <c r="W103" s="30" t="str">
        <f>"－"</f>
        <v>－</v>
      </c>
      <c r="X103" s="34">
        <f>20</f>
        <v>20</v>
      </c>
    </row>
    <row r="104" spans="1:24" x14ac:dyDescent="0.15">
      <c r="A104" s="25" t="s">
        <v>1014</v>
      </c>
      <c r="B104" s="25" t="s">
        <v>349</v>
      </c>
      <c r="C104" s="25" t="s">
        <v>350</v>
      </c>
      <c r="D104" s="25" t="s">
        <v>351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2447</f>
        <v>2447</v>
      </c>
      <c r="L104" s="32" t="s">
        <v>904</v>
      </c>
      <c r="M104" s="31">
        <f>2570</f>
        <v>2570</v>
      </c>
      <c r="N104" s="32" t="s">
        <v>56</v>
      </c>
      <c r="O104" s="31">
        <f>2160</f>
        <v>2160</v>
      </c>
      <c r="P104" s="32" t="s">
        <v>94</v>
      </c>
      <c r="Q104" s="31">
        <f>2209</f>
        <v>2209</v>
      </c>
      <c r="R104" s="32" t="s">
        <v>934</v>
      </c>
      <c r="S104" s="33">
        <f>2351.55</f>
        <v>2351.5500000000002</v>
      </c>
      <c r="T104" s="30">
        <f>1075685</f>
        <v>1075685</v>
      </c>
      <c r="U104" s="30">
        <f>2</f>
        <v>2</v>
      </c>
      <c r="V104" s="30">
        <f>2523972263</f>
        <v>2523972263</v>
      </c>
      <c r="W104" s="30">
        <f>4862</f>
        <v>4862</v>
      </c>
      <c r="X104" s="34">
        <f>20</f>
        <v>20</v>
      </c>
    </row>
    <row r="105" spans="1:24" x14ac:dyDescent="0.15">
      <c r="A105" s="25" t="s">
        <v>1014</v>
      </c>
      <c r="B105" s="25" t="s">
        <v>352</v>
      </c>
      <c r="C105" s="25" t="s">
        <v>353</v>
      </c>
      <c r="D105" s="25" t="s">
        <v>354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44090</f>
        <v>44090</v>
      </c>
      <c r="L105" s="32" t="s">
        <v>904</v>
      </c>
      <c r="M105" s="31">
        <f>44990</f>
        <v>44990</v>
      </c>
      <c r="N105" s="32" t="s">
        <v>695</v>
      </c>
      <c r="O105" s="31">
        <f>42700</f>
        <v>42700</v>
      </c>
      <c r="P105" s="32" t="s">
        <v>94</v>
      </c>
      <c r="Q105" s="31">
        <f>42950</f>
        <v>42950</v>
      </c>
      <c r="R105" s="32" t="s">
        <v>934</v>
      </c>
      <c r="S105" s="33">
        <f>44056.5</f>
        <v>44056.5</v>
      </c>
      <c r="T105" s="30">
        <f>17327</f>
        <v>17327</v>
      </c>
      <c r="U105" s="30">
        <f>2192</f>
        <v>2192</v>
      </c>
      <c r="V105" s="30">
        <f>766784503</f>
        <v>766784503</v>
      </c>
      <c r="W105" s="30">
        <f>95914623</f>
        <v>95914623</v>
      </c>
      <c r="X105" s="34">
        <f>20</f>
        <v>20</v>
      </c>
    </row>
    <row r="106" spans="1:24" x14ac:dyDescent="0.15">
      <c r="A106" s="25" t="s">
        <v>1014</v>
      </c>
      <c r="B106" s="25" t="s">
        <v>355</v>
      </c>
      <c r="C106" s="25" t="s">
        <v>356</v>
      </c>
      <c r="D106" s="25" t="s">
        <v>357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23900</f>
        <v>23900</v>
      </c>
      <c r="L106" s="32" t="s">
        <v>904</v>
      </c>
      <c r="M106" s="31">
        <f>24980</f>
        <v>24980</v>
      </c>
      <c r="N106" s="32" t="s">
        <v>56</v>
      </c>
      <c r="O106" s="31">
        <f>21220</f>
        <v>21220</v>
      </c>
      <c r="P106" s="32" t="s">
        <v>94</v>
      </c>
      <c r="Q106" s="31">
        <f>21670</f>
        <v>21670</v>
      </c>
      <c r="R106" s="32" t="s">
        <v>934</v>
      </c>
      <c r="S106" s="33">
        <f>23391.25</f>
        <v>23391.25</v>
      </c>
      <c r="T106" s="30">
        <f>2912000</f>
        <v>2912000</v>
      </c>
      <c r="U106" s="30">
        <f>240</f>
        <v>240</v>
      </c>
      <c r="V106" s="30">
        <f>67413172950</f>
        <v>67413172950</v>
      </c>
      <c r="W106" s="30">
        <f>5261000</f>
        <v>5261000</v>
      </c>
      <c r="X106" s="34">
        <f>20</f>
        <v>20</v>
      </c>
    </row>
    <row r="107" spans="1:24" x14ac:dyDescent="0.15">
      <c r="A107" s="25" t="s">
        <v>1014</v>
      </c>
      <c r="B107" s="25" t="s">
        <v>358</v>
      </c>
      <c r="C107" s="25" t="s">
        <v>359</v>
      </c>
      <c r="D107" s="25" t="s">
        <v>360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2065.5</f>
        <v>2065.5</v>
      </c>
      <c r="L107" s="32" t="s">
        <v>904</v>
      </c>
      <c r="M107" s="31">
        <f>2181.5</f>
        <v>2181.5</v>
      </c>
      <c r="N107" s="32" t="s">
        <v>94</v>
      </c>
      <c r="O107" s="31">
        <f>2017</f>
        <v>2017</v>
      </c>
      <c r="P107" s="32" t="s">
        <v>56</v>
      </c>
      <c r="Q107" s="31">
        <f>2160.5</f>
        <v>2160.5</v>
      </c>
      <c r="R107" s="32" t="s">
        <v>934</v>
      </c>
      <c r="S107" s="33">
        <f>2084.23</f>
        <v>2084.23</v>
      </c>
      <c r="T107" s="30">
        <f>209460</f>
        <v>209460</v>
      </c>
      <c r="U107" s="30" t="str">
        <f>"－"</f>
        <v>－</v>
      </c>
      <c r="V107" s="30">
        <f>442180080</f>
        <v>442180080</v>
      </c>
      <c r="W107" s="30" t="str">
        <f>"－"</f>
        <v>－</v>
      </c>
      <c r="X107" s="34">
        <f>20</f>
        <v>20</v>
      </c>
    </row>
    <row r="108" spans="1:24" x14ac:dyDescent="0.15">
      <c r="A108" s="25" t="s">
        <v>1014</v>
      </c>
      <c r="B108" s="25" t="s">
        <v>361</v>
      </c>
      <c r="C108" s="25" t="s">
        <v>362</v>
      </c>
      <c r="D108" s="25" t="s">
        <v>363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14415</f>
        <v>14415</v>
      </c>
      <c r="L108" s="32" t="s">
        <v>904</v>
      </c>
      <c r="M108" s="31">
        <f>15320</f>
        <v>15320</v>
      </c>
      <c r="N108" s="32" t="s">
        <v>56</v>
      </c>
      <c r="O108" s="31">
        <f>12495</f>
        <v>12495</v>
      </c>
      <c r="P108" s="32" t="s">
        <v>94</v>
      </c>
      <c r="Q108" s="31">
        <f>12660</f>
        <v>12660</v>
      </c>
      <c r="R108" s="32" t="s">
        <v>934</v>
      </c>
      <c r="S108" s="33">
        <f>14030.5</f>
        <v>14030.5</v>
      </c>
      <c r="T108" s="30">
        <f>190941511</f>
        <v>190941511</v>
      </c>
      <c r="U108" s="30">
        <f>116976</f>
        <v>116976</v>
      </c>
      <c r="V108" s="30">
        <f>2649825628075</f>
        <v>2649825628075</v>
      </c>
      <c r="W108" s="30">
        <f>1589379760</f>
        <v>1589379760</v>
      </c>
      <c r="X108" s="34">
        <f>20</f>
        <v>20</v>
      </c>
    </row>
    <row r="109" spans="1:24" x14ac:dyDescent="0.15">
      <c r="A109" s="25" t="s">
        <v>1014</v>
      </c>
      <c r="B109" s="25" t="s">
        <v>364</v>
      </c>
      <c r="C109" s="25" t="s">
        <v>365</v>
      </c>
      <c r="D109" s="25" t="s">
        <v>366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969</f>
        <v>969</v>
      </c>
      <c r="L109" s="32" t="s">
        <v>904</v>
      </c>
      <c r="M109" s="31">
        <f>1034</f>
        <v>1034</v>
      </c>
      <c r="N109" s="32" t="s">
        <v>94</v>
      </c>
      <c r="O109" s="31">
        <f>938</f>
        <v>938</v>
      </c>
      <c r="P109" s="32" t="s">
        <v>56</v>
      </c>
      <c r="Q109" s="31">
        <f>1027</f>
        <v>1027</v>
      </c>
      <c r="R109" s="32" t="s">
        <v>934</v>
      </c>
      <c r="S109" s="33">
        <f>979.9</f>
        <v>979.9</v>
      </c>
      <c r="T109" s="30">
        <f>34817039</f>
        <v>34817039</v>
      </c>
      <c r="U109" s="30">
        <f>4199200</f>
        <v>4199200</v>
      </c>
      <c r="V109" s="30">
        <f>34637381646</f>
        <v>34637381646</v>
      </c>
      <c r="W109" s="30">
        <f>4160036580</f>
        <v>4160036580</v>
      </c>
      <c r="X109" s="34">
        <f>20</f>
        <v>20</v>
      </c>
    </row>
    <row r="110" spans="1:24" x14ac:dyDescent="0.15">
      <c r="A110" s="25" t="s">
        <v>1014</v>
      </c>
      <c r="B110" s="25" t="s">
        <v>367</v>
      </c>
      <c r="C110" s="25" t="s">
        <v>368</v>
      </c>
      <c r="D110" s="25" t="s">
        <v>369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5341</f>
        <v>5341</v>
      </c>
      <c r="L110" s="32" t="s">
        <v>904</v>
      </c>
      <c r="M110" s="31">
        <f>5479</f>
        <v>5479</v>
      </c>
      <c r="N110" s="32" t="s">
        <v>904</v>
      </c>
      <c r="O110" s="31">
        <f>4237</f>
        <v>4237</v>
      </c>
      <c r="P110" s="32" t="s">
        <v>934</v>
      </c>
      <c r="Q110" s="31">
        <f>4298</f>
        <v>4298</v>
      </c>
      <c r="R110" s="32" t="s">
        <v>934</v>
      </c>
      <c r="S110" s="33">
        <f>4957.9</f>
        <v>4957.8999999999996</v>
      </c>
      <c r="T110" s="30">
        <f>151490</f>
        <v>151490</v>
      </c>
      <c r="U110" s="30" t="str">
        <f>"－"</f>
        <v>－</v>
      </c>
      <c r="V110" s="30">
        <f>747639770</f>
        <v>747639770</v>
      </c>
      <c r="W110" s="30" t="str">
        <f>"－"</f>
        <v>－</v>
      </c>
      <c r="X110" s="34">
        <f>20</f>
        <v>20</v>
      </c>
    </row>
    <row r="111" spans="1:24" x14ac:dyDescent="0.15">
      <c r="A111" s="25" t="s">
        <v>1014</v>
      </c>
      <c r="B111" s="25" t="s">
        <v>370</v>
      </c>
      <c r="C111" s="25" t="s">
        <v>371</v>
      </c>
      <c r="D111" s="25" t="s">
        <v>372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11225</f>
        <v>11225</v>
      </c>
      <c r="L111" s="32" t="s">
        <v>904</v>
      </c>
      <c r="M111" s="31">
        <f>13445</f>
        <v>13445</v>
      </c>
      <c r="N111" s="32" t="s">
        <v>934</v>
      </c>
      <c r="O111" s="31">
        <f>11190</f>
        <v>11190</v>
      </c>
      <c r="P111" s="32" t="s">
        <v>904</v>
      </c>
      <c r="Q111" s="31">
        <f>13315</f>
        <v>13315</v>
      </c>
      <c r="R111" s="32" t="s">
        <v>934</v>
      </c>
      <c r="S111" s="33">
        <f>12182.5</f>
        <v>12182.5</v>
      </c>
      <c r="T111" s="30">
        <f>21470</f>
        <v>21470</v>
      </c>
      <c r="U111" s="30" t="str">
        <f>"－"</f>
        <v>－</v>
      </c>
      <c r="V111" s="30">
        <f>264647150</f>
        <v>264647150</v>
      </c>
      <c r="W111" s="30" t="str">
        <f>"－"</f>
        <v>－</v>
      </c>
      <c r="X111" s="34">
        <f>20</f>
        <v>20</v>
      </c>
    </row>
    <row r="112" spans="1:24" x14ac:dyDescent="0.15">
      <c r="A112" s="25" t="s">
        <v>1014</v>
      </c>
      <c r="B112" s="25" t="s">
        <v>373</v>
      </c>
      <c r="C112" s="25" t="s">
        <v>374</v>
      </c>
      <c r="D112" s="25" t="s">
        <v>375</v>
      </c>
      <c r="E112" s="26" t="s">
        <v>45</v>
      </c>
      <c r="F112" s="27" t="s">
        <v>45</v>
      </c>
      <c r="G112" s="28" t="s">
        <v>45</v>
      </c>
      <c r="H112" s="29" t="s">
        <v>333</v>
      </c>
      <c r="I112" s="29" t="s">
        <v>46</v>
      </c>
      <c r="J112" s="30">
        <v>10</v>
      </c>
      <c r="K112" s="31">
        <f>778.2</f>
        <v>778.2</v>
      </c>
      <c r="L112" s="32" t="s">
        <v>904</v>
      </c>
      <c r="M112" s="31">
        <f>820</f>
        <v>820</v>
      </c>
      <c r="N112" s="32" t="s">
        <v>911</v>
      </c>
      <c r="O112" s="31">
        <f>720.4</f>
        <v>720.4</v>
      </c>
      <c r="P112" s="32" t="s">
        <v>812</v>
      </c>
      <c r="Q112" s="31">
        <f>742</f>
        <v>742</v>
      </c>
      <c r="R112" s="32" t="s">
        <v>934</v>
      </c>
      <c r="S112" s="33">
        <f>769.76</f>
        <v>769.76</v>
      </c>
      <c r="T112" s="30">
        <f>52880</f>
        <v>52880</v>
      </c>
      <c r="U112" s="30" t="str">
        <f>"－"</f>
        <v>－</v>
      </c>
      <c r="V112" s="30">
        <f>40925798</f>
        <v>40925798</v>
      </c>
      <c r="W112" s="30" t="str">
        <f>"－"</f>
        <v>－</v>
      </c>
      <c r="X112" s="34">
        <f>20</f>
        <v>20</v>
      </c>
    </row>
    <row r="113" spans="1:24" x14ac:dyDescent="0.15">
      <c r="A113" s="25" t="s">
        <v>1014</v>
      </c>
      <c r="B113" s="25" t="s">
        <v>376</v>
      </c>
      <c r="C113" s="25" t="s">
        <v>377</v>
      </c>
      <c r="D113" s="25" t="s">
        <v>378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24895</f>
        <v>24895</v>
      </c>
      <c r="L113" s="32" t="s">
        <v>904</v>
      </c>
      <c r="M113" s="31">
        <f>25100</f>
        <v>25100</v>
      </c>
      <c r="N113" s="32" t="s">
        <v>813</v>
      </c>
      <c r="O113" s="31">
        <f>23400</f>
        <v>23400</v>
      </c>
      <c r="P113" s="32" t="s">
        <v>94</v>
      </c>
      <c r="Q113" s="31">
        <f>23705</f>
        <v>23705</v>
      </c>
      <c r="R113" s="32" t="s">
        <v>934</v>
      </c>
      <c r="S113" s="33">
        <f>24498</f>
        <v>24498</v>
      </c>
      <c r="T113" s="30">
        <f>97563</f>
        <v>97563</v>
      </c>
      <c r="U113" s="30">
        <f>25002</f>
        <v>25002</v>
      </c>
      <c r="V113" s="30">
        <f>2377352525</f>
        <v>2377352525</v>
      </c>
      <c r="W113" s="30">
        <f>613540180</f>
        <v>613540180</v>
      </c>
      <c r="X113" s="34">
        <f>20</f>
        <v>20</v>
      </c>
    </row>
    <row r="114" spans="1:24" x14ac:dyDescent="0.15">
      <c r="A114" s="25" t="s">
        <v>1014</v>
      </c>
      <c r="B114" s="25" t="s">
        <v>379</v>
      </c>
      <c r="C114" s="25" t="s">
        <v>380</v>
      </c>
      <c r="D114" s="25" t="s">
        <v>381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2217</f>
        <v>2217</v>
      </c>
      <c r="L114" s="32" t="s">
        <v>904</v>
      </c>
      <c r="M114" s="31">
        <f>2283</f>
        <v>2283</v>
      </c>
      <c r="N114" s="32" t="s">
        <v>56</v>
      </c>
      <c r="O114" s="31">
        <f>2066</f>
        <v>2066</v>
      </c>
      <c r="P114" s="32" t="s">
        <v>94</v>
      </c>
      <c r="Q114" s="31">
        <f>2090</f>
        <v>2090</v>
      </c>
      <c r="R114" s="32" t="s">
        <v>934</v>
      </c>
      <c r="S114" s="33">
        <f>2188.5</f>
        <v>2188.5</v>
      </c>
      <c r="T114" s="30">
        <f>67249</f>
        <v>67249</v>
      </c>
      <c r="U114" s="30">
        <f>11</f>
        <v>11</v>
      </c>
      <c r="V114" s="30">
        <f>145531190</f>
        <v>145531190</v>
      </c>
      <c r="W114" s="30">
        <f>23476</f>
        <v>23476</v>
      </c>
      <c r="X114" s="34">
        <f>20</f>
        <v>20</v>
      </c>
    </row>
    <row r="115" spans="1:24" x14ac:dyDescent="0.15">
      <c r="A115" s="25" t="s">
        <v>1014</v>
      </c>
      <c r="B115" s="25" t="s">
        <v>382</v>
      </c>
      <c r="C115" s="25" t="s">
        <v>383</v>
      </c>
      <c r="D115" s="25" t="s">
        <v>384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15425</f>
        <v>15425</v>
      </c>
      <c r="L115" s="32" t="s">
        <v>904</v>
      </c>
      <c r="M115" s="31">
        <f>16400</f>
        <v>16400</v>
      </c>
      <c r="N115" s="32" t="s">
        <v>56</v>
      </c>
      <c r="O115" s="31">
        <f>13370</f>
        <v>13370</v>
      </c>
      <c r="P115" s="32" t="s">
        <v>94</v>
      </c>
      <c r="Q115" s="31">
        <f>13530</f>
        <v>13530</v>
      </c>
      <c r="R115" s="32" t="s">
        <v>934</v>
      </c>
      <c r="S115" s="33">
        <f>15012</f>
        <v>15012</v>
      </c>
      <c r="T115" s="30">
        <f>17771590</f>
        <v>17771590</v>
      </c>
      <c r="U115" s="30">
        <f>130160</f>
        <v>130160</v>
      </c>
      <c r="V115" s="30">
        <f>264337734490</f>
        <v>264337734490</v>
      </c>
      <c r="W115" s="30">
        <f>1905407090</f>
        <v>1905407090</v>
      </c>
      <c r="X115" s="34">
        <f>20</f>
        <v>20</v>
      </c>
    </row>
    <row r="116" spans="1:24" x14ac:dyDescent="0.15">
      <c r="A116" s="25" t="s">
        <v>1014</v>
      </c>
      <c r="B116" s="25" t="s">
        <v>385</v>
      </c>
      <c r="C116" s="25" t="s">
        <v>386</v>
      </c>
      <c r="D116" s="25" t="s">
        <v>387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2572.5</f>
        <v>2572.5</v>
      </c>
      <c r="L116" s="32" t="s">
        <v>904</v>
      </c>
      <c r="M116" s="31">
        <f>2747</f>
        <v>2747</v>
      </c>
      <c r="N116" s="32" t="s">
        <v>94</v>
      </c>
      <c r="O116" s="31">
        <f>2491.5</f>
        <v>2491.5</v>
      </c>
      <c r="P116" s="32" t="s">
        <v>56</v>
      </c>
      <c r="Q116" s="31">
        <f>2727.5</f>
        <v>2727.5</v>
      </c>
      <c r="R116" s="32" t="s">
        <v>934</v>
      </c>
      <c r="S116" s="33">
        <f>2602.9</f>
        <v>2602.9</v>
      </c>
      <c r="T116" s="30">
        <f>788190</f>
        <v>788190</v>
      </c>
      <c r="U116" s="30" t="str">
        <f>"－"</f>
        <v>－</v>
      </c>
      <c r="V116" s="30">
        <f>2077728005</f>
        <v>2077728005</v>
      </c>
      <c r="W116" s="30" t="str">
        <f>"－"</f>
        <v>－</v>
      </c>
      <c r="X116" s="34">
        <f>20</f>
        <v>20</v>
      </c>
    </row>
    <row r="117" spans="1:24" x14ac:dyDescent="0.15">
      <c r="A117" s="25" t="s">
        <v>1014</v>
      </c>
      <c r="B117" s="25" t="s">
        <v>388</v>
      </c>
      <c r="C117" s="25" t="s">
        <v>389</v>
      </c>
      <c r="D117" s="25" t="s">
        <v>390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894.1</f>
        <v>894.1</v>
      </c>
      <c r="L117" s="32" t="s">
        <v>904</v>
      </c>
      <c r="M117" s="31">
        <f>964</f>
        <v>964</v>
      </c>
      <c r="N117" s="32" t="s">
        <v>80</v>
      </c>
      <c r="O117" s="31">
        <f>830</f>
        <v>830</v>
      </c>
      <c r="P117" s="32" t="s">
        <v>810</v>
      </c>
      <c r="Q117" s="31">
        <f>830</f>
        <v>830</v>
      </c>
      <c r="R117" s="32" t="s">
        <v>266</v>
      </c>
      <c r="S117" s="33">
        <f>871.13</f>
        <v>871.13</v>
      </c>
      <c r="T117" s="30">
        <f>1820</f>
        <v>1820</v>
      </c>
      <c r="U117" s="30" t="str">
        <f>"－"</f>
        <v>－</v>
      </c>
      <c r="V117" s="30">
        <f>1599877</f>
        <v>1599877</v>
      </c>
      <c r="W117" s="30" t="str">
        <f>"－"</f>
        <v>－</v>
      </c>
      <c r="X117" s="34">
        <f>12</f>
        <v>12</v>
      </c>
    </row>
    <row r="118" spans="1:24" x14ac:dyDescent="0.15">
      <c r="A118" s="25" t="s">
        <v>1014</v>
      </c>
      <c r="B118" s="25" t="s">
        <v>391</v>
      </c>
      <c r="C118" s="25" t="s">
        <v>392</v>
      </c>
      <c r="D118" s="25" t="s">
        <v>393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1555</f>
        <v>1555</v>
      </c>
      <c r="L118" s="32" t="s">
        <v>813</v>
      </c>
      <c r="M118" s="31">
        <f>1555</f>
        <v>1555</v>
      </c>
      <c r="N118" s="32" t="s">
        <v>813</v>
      </c>
      <c r="O118" s="31">
        <f>1477</f>
        <v>1477</v>
      </c>
      <c r="P118" s="32" t="s">
        <v>812</v>
      </c>
      <c r="Q118" s="31">
        <f>1477</f>
        <v>1477</v>
      </c>
      <c r="R118" s="32" t="s">
        <v>812</v>
      </c>
      <c r="S118" s="33">
        <f>1516.67</f>
        <v>1516.67</v>
      </c>
      <c r="T118" s="30">
        <f>78680</f>
        <v>78680</v>
      </c>
      <c r="U118" s="30">
        <f>78050</f>
        <v>78050</v>
      </c>
      <c r="V118" s="30">
        <f>119995475</f>
        <v>119995475</v>
      </c>
      <c r="W118" s="30">
        <f>119026250</f>
        <v>119026250</v>
      </c>
      <c r="X118" s="34">
        <f>3</f>
        <v>3</v>
      </c>
    </row>
    <row r="119" spans="1:24" x14ac:dyDescent="0.15">
      <c r="A119" s="25" t="s">
        <v>1014</v>
      </c>
      <c r="B119" s="25" t="s">
        <v>394</v>
      </c>
      <c r="C119" s="25" t="s">
        <v>395</v>
      </c>
      <c r="D119" s="25" t="s">
        <v>396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1646</f>
        <v>1646</v>
      </c>
      <c r="L119" s="32" t="s">
        <v>904</v>
      </c>
      <c r="M119" s="31">
        <f>1686</f>
        <v>1686</v>
      </c>
      <c r="N119" s="32" t="s">
        <v>56</v>
      </c>
      <c r="O119" s="31">
        <f>1557</f>
        <v>1557</v>
      </c>
      <c r="P119" s="32" t="s">
        <v>94</v>
      </c>
      <c r="Q119" s="31">
        <f>1608</f>
        <v>1608</v>
      </c>
      <c r="R119" s="32" t="s">
        <v>934</v>
      </c>
      <c r="S119" s="33">
        <f>1616.7</f>
        <v>1616.7</v>
      </c>
      <c r="T119" s="30">
        <f>22735</f>
        <v>22735</v>
      </c>
      <c r="U119" s="30">
        <f>2</f>
        <v>2</v>
      </c>
      <c r="V119" s="30">
        <f>36787519</f>
        <v>36787519</v>
      </c>
      <c r="W119" s="30">
        <f>3255</f>
        <v>3255</v>
      </c>
      <c r="X119" s="34">
        <f>20</f>
        <v>20</v>
      </c>
    </row>
    <row r="120" spans="1:24" x14ac:dyDescent="0.15">
      <c r="A120" s="25" t="s">
        <v>1014</v>
      </c>
      <c r="B120" s="25" t="s">
        <v>397</v>
      </c>
      <c r="C120" s="25" t="s">
        <v>398</v>
      </c>
      <c r="D120" s="25" t="s">
        <v>399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17570</f>
        <v>17570</v>
      </c>
      <c r="L120" s="32" t="s">
        <v>904</v>
      </c>
      <c r="M120" s="31">
        <f>17995</f>
        <v>17995</v>
      </c>
      <c r="N120" s="32" t="s">
        <v>56</v>
      </c>
      <c r="O120" s="31">
        <f>16570</f>
        <v>16570</v>
      </c>
      <c r="P120" s="32" t="s">
        <v>94</v>
      </c>
      <c r="Q120" s="31">
        <f>16720</f>
        <v>16720</v>
      </c>
      <c r="R120" s="32" t="s">
        <v>934</v>
      </c>
      <c r="S120" s="33">
        <f>17396.5</f>
        <v>17396.5</v>
      </c>
      <c r="T120" s="30">
        <f>99625</f>
        <v>99625</v>
      </c>
      <c r="U120" s="30">
        <f>38710</f>
        <v>38710</v>
      </c>
      <c r="V120" s="30">
        <f>1718807965</f>
        <v>1718807965</v>
      </c>
      <c r="W120" s="30">
        <f>649693650</f>
        <v>649693650</v>
      </c>
      <c r="X120" s="34">
        <f>20</f>
        <v>20</v>
      </c>
    </row>
    <row r="121" spans="1:24" x14ac:dyDescent="0.15">
      <c r="A121" s="25" t="s">
        <v>1014</v>
      </c>
      <c r="B121" s="25" t="s">
        <v>400</v>
      </c>
      <c r="C121" s="25" t="s">
        <v>401</v>
      </c>
      <c r="D121" s="25" t="s">
        <v>402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1615</f>
        <v>1615</v>
      </c>
      <c r="L121" s="32" t="s">
        <v>904</v>
      </c>
      <c r="M121" s="31">
        <f>1645</f>
        <v>1645</v>
      </c>
      <c r="N121" s="32" t="s">
        <v>813</v>
      </c>
      <c r="O121" s="31">
        <f>1509</f>
        <v>1509</v>
      </c>
      <c r="P121" s="32" t="s">
        <v>94</v>
      </c>
      <c r="Q121" s="31">
        <f>1525</f>
        <v>1525</v>
      </c>
      <c r="R121" s="32" t="s">
        <v>934</v>
      </c>
      <c r="S121" s="33">
        <f>1586.05</f>
        <v>1586.05</v>
      </c>
      <c r="T121" s="30">
        <f>29945</f>
        <v>29945</v>
      </c>
      <c r="U121" s="30" t="str">
        <f>"－"</f>
        <v>－</v>
      </c>
      <c r="V121" s="30">
        <f>47243959</f>
        <v>47243959</v>
      </c>
      <c r="W121" s="30" t="str">
        <f>"－"</f>
        <v>－</v>
      </c>
      <c r="X121" s="34">
        <f>20</f>
        <v>20</v>
      </c>
    </row>
    <row r="122" spans="1:24" x14ac:dyDescent="0.15">
      <c r="A122" s="25" t="s">
        <v>1014</v>
      </c>
      <c r="B122" s="25" t="s">
        <v>403</v>
      </c>
      <c r="C122" s="25" t="s">
        <v>404</v>
      </c>
      <c r="D122" s="25" t="s">
        <v>405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17715</f>
        <v>17715</v>
      </c>
      <c r="L122" s="32" t="s">
        <v>904</v>
      </c>
      <c r="M122" s="31">
        <f>18320</f>
        <v>18320</v>
      </c>
      <c r="N122" s="32" t="s">
        <v>56</v>
      </c>
      <c r="O122" s="31">
        <f>16900</f>
        <v>16900</v>
      </c>
      <c r="P122" s="32" t="s">
        <v>94</v>
      </c>
      <c r="Q122" s="31">
        <f>17000</f>
        <v>17000</v>
      </c>
      <c r="R122" s="32" t="s">
        <v>934</v>
      </c>
      <c r="S122" s="33">
        <f>17727.25</f>
        <v>17727.25</v>
      </c>
      <c r="T122" s="30">
        <f>13869</f>
        <v>13869</v>
      </c>
      <c r="U122" s="30" t="str">
        <f>"－"</f>
        <v>－</v>
      </c>
      <c r="V122" s="30">
        <f>246011275</f>
        <v>246011275</v>
      </c>
      <c r="W122" s="30" t="str">
        <f>"－"</f>
        <v>－</v>
      </c>
      <c r="X122" s="34">
        <f>20</f>
        <v>20</v>
      </c>
    </row>
    <row r="123" spans="1:24" x14ac:dyDescent="0.15">
      <c r="A123" s="25" t="s">
        <v>1014</v>
      </c>
      <c r="B123" s="25" t="s">
        <v>406</v>
      </c>
      <c r="C123" s="25" t="s">
        <v>407</v>
      </c>
      <c r="D123" s="25" t="s">
        <v>408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2080</f>
        <v>2080</v>
      </c>
      <c r="L123" s="32" t="s">
        <v>904</v>
      </c>
      <c r="M123" s="31">
        <f>2089</f>
        <v>2089</v>
      </c>
      <c r="N123" s="32" t="s">
        <v>87</v>
      </c>
      <c r="O123" s="31">
        <f>1952.5</f>
        <v>1952.5</v>
      </c>
      <c r="P123" s="32" t="s">
        <v>94</v>
      </c>
      <c r="Q123" s="31">
        <f>1998.5</f>
        <v>1998.5</v>
      </c>
      <c r="R123" s="32" t="s">
        <v>934</v>
      </c>
      <c r="S123" s="33">
        <f>2051.45</f>
        <v>2051.4499999999998</v>
      </c>
      <c r="T123" s="30">
        <f>1723670</f>
        <v>1723670</v>
      </c>
      <c r="U123" s="30">
        <f>1282850</f>
        <v>1282850</v>
      </c>
      <c r="V123" s="30">
        <f>3505092802</f>
        <v>3505092802</v>
      </c>
      <c r="W123" s="30">
        <f>2611410072</f>
        <v>2611410072</v>
      </c>
      <c r="X123" s="34">
        <f>20</f>
        <v>20</v>
      </c>
    </row>
    <row r="124" spans="1:24" x14ac:dyDescent="0.15">
      <c r="A124" s="25" t="s">
        <v>1014</v>
      </c>
      <c r="B124" s="25" t="s">
        <v>409</v>
      </c>
      <c r="C124" s="25" t="s">
        <v>410</v>
      </c>
      <c r="D124" s="25" t="s">
        <v>411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1678</f>
        <v>1678</v>
      </c>
      <c r="L124" s="32" t="s">
        <v>904</v>
      </c>
      <c r="M124" s="31">
        <f>1717</f>
        <v>1717</v>
      </c>
      <c r="N124" s="32" t="s">
        <v>56</v>
      </c>
      <c r="O124" s="31">
        <f>1611</f>
        <v>1611</v>
      </c>
      <c r="P124" s="32" t="s">
        <v>812</v>
      </c>
      <c r="Q124" s="31">
        <f>1611</f>
        <v>1611</v>
      </c>
      <c r="R124" s="32" t="s">
        <v>812</v>
      </c>
      <c r="S124" s="33">
        <f>1668.9</f>
        <v>1668.9</v>
      </c>
      <c r="T124" s="30">
        <f>630</f>
        <v>630</v>
      </c>
      <c r="U124" s="30" t="str">
        <f>"－"</f>
        <v>－</v>
      </c>
      <c r="V124" s="30">
        <f>1055000</f>
        <v>1055000</v>
      </c>
      <c r="W124" s="30" t="str">
        <f>"－"</f>
        <v>－</v>
      </c>
      <c r="X124" s="34">
        <f>10</f>
        <v>10</v>
      </c>
    </row>
    <row r="125" spans="1:24" x14ac:dyDescent="0.15">
      <c r="A125" s="25" t="s">
        <v>1014</v>
      </c>
      <c r="B125" s="25" t="s">
        <v>412</v>
      </c>
      <c r="C125" s="25" t="s">
        <v>413</v>
      </c>
      <c r="D125" s="25" t="s">
        <v>414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2105.5</f>
        <v>2105.5</v>
      </c>
      <c r="L125" s="32" t="s">
        <v>904</v>
      </c>
      <c r="M125" s="31">
        <f>2105.5</f>
        <v>2105.5</v>
      </c>
      <c r="N125" s="32" t="s">
        <v>904</v>
      </c>
      <c r="O125" s="31">
        <f>1950</f>
        <v>1950</v>
      </c>
      <c r="P125" s="32" t="s">
        <v>94</v>
      </c>
      <c r="Q125" s="31">
        <f>1995</f>
        <v>1995</v>
      </c>
      <c r="R125" s="32" t="s">
        <v>934</v>
      </c>
      <c r="S125" s="33">
        <f>2052.58</f>
        <v>2052.58</v>
      </c>
      <c r="T125" s="30">
        <f>3221350</f>
        <v>3221350</v>
      </c>
      <c r="U125" s="30">
        <f>2297220</f>
        <v>2297220</v>
      </c>
      <c r="V125" s="30">
        <f>6586100165</f>
        <v>6586100165</v>
      </c>
      <c r="W125" s="30">
        <f>4677838850</f>
        <v>4677838850</v>
      </c>
      <c r="X125" s="34">
        <f>20</f>
        <v>20</v>
      </c>
    </row>
    <row r="126" spans="1:24" x14ac:dyDescent="0.15">
      <c r="A126" s="25" t="s">
        <v>1014</v>
      </c>
      <c r="B126" s="25" t="s">
        <v>415</v>
      </c>
      <c r="C126" s="25" t="s">
        <v>416</v>
      </c>
      <c r="D126" s="25" t="s">
        <v>417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17685</f>
        <v>17685</v>
      </c>
      <c r="L126" s="32" t="s">
        <v>909</v>
      </c>
      <c r="M126" s="31">
        <f>18195</f>
        <v>18195</v>
      </c>
      <c r="N126" s="32" t="s">
        <v>56</v>
      </c>
      <c r="O126" s="31">
        <f>16770</f>
        <v>16770</v>
      </c>
      <c r="P126" s="32" t="s">
        <v>94</v>
      </c>
      <c r="Q126" s="31">
        <f>17095</f>
        <v>17095</v>
      </c>
      <c r="R126" s="32" t="s">
        <v>934</v>
      </c>
      <c r="S126" s="33">
        <f>17610.36</f>
        <v>17610.36</v>
      </c>
      <c r="T126" s="30">
        <f>2489</f>
        <v>2489</v>
      </c>
      <c r="U126" s="30">
        <f>1690</f>
        <v>1690</v>
      </c>
      <c r="V126" s="30">
        <f>44042540</f>
        <v>44042540</v>
      </c>
      <c r="W126" s="30">
        <f>29989895</f>
        <v>29989895</v>
      </c>
      <c r="X126" s="34">
        <f>14</f>
        <v>14</v>
      </c>
    </row>
    <row r="127" spans="1:24" x14ac:dyDescent="0.15">
      <c r="A127" s="25" t="s">
        <v>1014</v>
      </c>
      <c r="B127" s="25" t="s">
        <v>418</v>
      </c>
      <c r="C127" s="25" t="s">
        <v>419</v>
      </c>
      <c r="D127" s="25" t="s">
        <v>420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100</v>
      </c>
      <c r="K127" s="31">
        <f>163.7</f>
        <v>163.69999999999999</v>
      </c>
      <c r="L127" s="32" t="s">
        <v>904</v>
      </c>
      <c r="M127" s="31">
        <f>170.7</f>
        <v>170.7</v>
      </c>
      <c r="N127" s="32" t="s">
        <v>66</v>
      </c>
      <c r="O127" s="31">
        <f>159.5</f>
        <v>159.5</v>
      </c>
      <c r="P127" s="32" t="s">
        <v>94</v>
      </c>
      <c r="Q127" s="31">
        <f>161.7</f>
        <v>161.69999999999999</v>
      </c>
      <c r="R127" s="32" t="s">
        <v>934</v>
      </c>
      <c r="S127" s="33">
        <f>165.23</f>
        <v>165.23</v>
      </c>
      <c r="T127" s="30">
        <f>14641100</f>
        <v>14641100</v>
      </c>
      <c r="U127" s="30">
        <f>4498500</f>
        <v>4498500</v>
      </c>
      <c r="V127" s="30">
        <f>2424142690</f>
        <v>2424142690</v>
      </c>
      <c r="W127" s="30">
        <f>750087470</f>
        <v>750087470</v>
      </c>
      <c r="X127" s="34">
        <f>20</f>
        <v>20</v>
      </c>
    </row>
    <row r="128" spans="1:24" x14ac:dyDescent="0.15">
      <c r="A128" s="25" t="s">
        <v>1014</v>
      </c>
      <c r="B128" s="25" t="s">
        <v>421</v>
      </c>
      <c r="C128" s="25" t="s">
        <v>422</v>
      </c>
      <c r="D128" s="25" t="s">
        <v>423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29240</f>
        <v>29240</v>
      </c>
      <c r="L128" s="32" t="s">
        <v>904</v>
      </c>
      <c r="M128" s="31">
        <f>29450</f>
        <v>29450</v>
      </c>
      <c r="N128" s="32" t="s">
        <v>56</v>
      </c>
      <c r="O128" s="31">
        <f>28550</f>
        <v>28550</v>
      </c>
      <c r="P128" s="32" t="s">
        <v>70</v>
      </c>
      <c r="Q128" s="31">
        <f>29165</f>
        <v>29165</v>
      </c>
      <c r="R128" s="32" t="s">
        <v>934</v>
      </c>
      <c r="S128" s="33">
        <f>29066.25</f>
        <v>29066.25</v>
      </c>
      <c r="T128" s="30">
        <f>505</f>
        <v>505</v>
      </c>
      <c r="U128" s="30" t="str">
        <f>"－"</f>
        <v>－</v>
      </c>
      <c r="V128" s="30">
        <f>14622330</f>
        <v>14622330</v>
      </c>
      <c r="W128" s="30" t="str">
        <f>"－"</f>
        <v>－</v>
      </c>
      <c r="X128" s="34">
        <f>20</f>
        <v>20</v>
      </c>
    </row>
    <row r="129" spans="1:24" x14ac:dyDescent="0.15">
      <c r="A129" s="25" t="s">
        <v>1014</v>
      </c>
      <c r="B129" s="25" t="s">
        <v>424</v>
      </c>
      <c r="C129" s="25" t="s">
        <v>425</v>
      </c>
      <c r="D129" s="25" t="s">
        <v>426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14390</f>
        <v>14390</v>
      </c>
      <c r="L129" s="32" t="s">
        <v>904</v>
      </c>
      <c r="M129" s="31">
        <f>14415</f>
        <v>14415</v>
      </c>
      <c r="N129" s="32" t="s">
        <v>904</v>
      </c>
      <c r="O129" s="31">
        <f>12550</f>
        <v>12550</v>
      </c>
      <c r="P129" s="32" t="s">
        <v>94</v>
      </c>
      <c r="Q129" s="31">
        <f>12805</f>
        <v>12805</v>
      </c>
      <c r="R129" s="32" t="s">
        <v>934</v>
      </c>
      <c r="S129" s="33">
        <f>13592.25</f>
        <v>13592.25</v>
      </c>
      <c r="T129" s="30">
        <f>9016</f>
        <v>9016</v>
      </c>
      <c r="U129" s="30">
        <f>1</f>
        <v>1</v>
      </c>
      <c r="V129" s="30">
        <f>123152090</f>
        <v>123152090</v>
      </c>
      <c r="W129" s="30">
        <f>14850</f>
        <v>14850</v>
      </c>
      <c r="X129" s="34">
        <f>20</f>
        <v>20</v>
      </c>
    </row>
    <row r="130" spans="1:24" x14ac:dyDescent="0.15">
      <c r="A130" s="25" t="s">
        <v>1014</v>
      </c>
      <c r="B130" s="25" t="s">
        <v>427</v>
      </c>
      <c r="C130" s="25" t="s">
        <v>428</v>
      </c>
      <c r="D130" s="25" t="s">
        <v>429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21260</f>
        <v>21260</v>
      </c>
      <c r="L130" s="32" t="s">
        <v>904</v>
      </c>
      <c r="M130" s="31">
        <f>21830</f>
        <v>21830</v>
      </c>
      <c r="N130" s="32" t="s">
        <v>813</v>
      </c>
      <c r="O130" s="31">
        <f>20390</f>
        <v>20390</v>
      </c>
      <c r="P130" s="32" t="s">
        <v>94</v>
      </c>
      <c r="Q130" s="31">
        <f>20720</f>
        <v>20720</v>
      </c>
      <c r="R130" s="32" t="s">
        <v>934</v>
      </c>
      <c r="S130" s="33">
        <f>21278.25</f>
        <v>21278.25</v>
      </c>
      <c r="T130" s="30">
        <f>469</f>
        <v>469</v>
      </c>
      <c r="U130" s="30" t="str">
        <f>"－"</f>
        <v>－</v>
      </c>
      <c r="V130" s="30">
        <f>9987155</f>
        <v>9987155</v>
      </c>
      <c r="W130" s="30" t="str">
        <f>"－"</f>
        <v>－</v>
      </c>
      <c r="X130" s="34">
        <f>20</f>
        <v>20</v>
      </c>
    </row>
    <row r="131" spans="1:24" x14ac:dyDescent="0.15">
      <c r="A131" s="25" t="s">
        <v>1014</v>
      </c>
      <c r="B131" s="25" t="s">
        <v>430</v>
      </c>
      <c r="C131" s="25" t="s">
        <v>431</v>
      </c>
      <c r="D131" s="25" t="s">
        <v>432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24350</f>
        <v>24350</v>
      </c>
      <c r="L131" s="32" t="s">
        <v>904</v>
      </c>
      <c r="M131" s="31">
        <f>24885</f>
        <v>24885</v>
      </c>
      <c r="N131" s="32" t="s">
        <v>813</v>
      </c>
      <c r="O131" s="31">
        <f>22825</f>
        <v>22825</v>
      </c>
      <c r="P131" s="32" t="s">
        <v>94</v>
      </c>
      <c r="Q131" s="31">
        <f>23125</f>
        <v>23125</v>
      </c>
      <c r="R131" s="32" t="s">
        <v>934</v>
      </c>
      <c r="S131" s="33">
        <f>23956.75</f>
        <v>23956.75</v>
      </c>
      <c r="T131" s="30">
        <f>862</f>
        <v>862</v>
      </c>
      <c r="U131" s="30" t="str">
        <f>"－"</f>
        <v>－</v>
      </c>
      <c r="V131" s="30">
        <f>20558595</f>
        <v>20558595</v>
      </c>
      <c r="W131" s="30" t="str">
        <f>"－"</f>
        <v>－</v>
      </c>
      <c r="X131" s="34">
        <f>20</f>
        <v>20</v>
      </c>
    </row>
    <row r="132" spans="1:24" x14ac:dyDescent="0.15">
      <c r="A132" s="25" t="s">
        <v>1014</v>
      </c>
      <c r="B132" s="25" t="s">
        <v>433</v>
      </c>
      <c r="C132" s="25" t="s">
        <v>434</v>
      </c>
      <c r="D132" s="25" t="s">
        <v>435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24430</f>
        <v>24430</v>
      </c>
      <c r="L132" s="32" t="s">
        <v>904</v>
      </c>
      <c r="M132" s="31">
        <f>25270</f>
        <v>25270</v>
      </c>
      <c r="N132" s="32" t="s">
        <v>56</v>
      </c>
      <c r="O132" s="31">
        <f>23650</f>
        <v>23650</v>
      </c>
      <c r="P132" s="32" t="s">
        <v>812</v>
      </c>
      <c r="Q132" s="31">
        <f>24860</f>
        <v>24860</v>
      </c>
      <c r="R132" s="32" t="s">
        <v>934</v>
      </c>
      <c r="S132" s="33">
        <f>24538</f>
        <v>24538</v>
      </c>
      <c r="T132" s="30">
        <f>3125</f>
        <v>3125</v>
      </c>
      <c r="U132" s="30">
        <f>210</f>
        <v>210</v>
      </c>
      <c r="V132" s="30">
        <f>76807540</f>
        <v>76807540</v>
      </c>
      <c r="W132" s="30">
        <f>5045880</f>
        <v>5045880</v>
      </c>
      <c r="X132" s="34">
        <f>20</f>
        <v>20</v>
      </c>
    </row>
    <row r="133" spans="1:24" x14ac:dyDescent="0.15">
      <c r="A133" s="25" t="s">
        <v>1014</v>
      </c>
      <c r="B133" s="25" t="s">
        <v>436</v>
      </c>
      <c r="C133" s="25" t="s">
        <v>437</v>
      </c>
      <c r="D133" s="25" t="s">
        <v>438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24305</f>
        <v>24305</v>
      </c>
      <c r="L133" s="32" t="s">
        <v>904</v>
      </c>
      <c r="M133" s="31">
        <f>24615</f>
        <v>24615</v>
      </c>
      <c r="N133" s="32" t="s">
        <v>813</v>
      </c>
      <c r="O133" s="31">
        <f>21955</f>
        <v>21955</v>
      </c>
      <c r="P133" s="32" t="s">
        <v>934</v>
      </c>
      <c r="Q133" s="31">
        <f>22015</f>
        <v>22015</v>
      </c>
      <c r="R133" s="32" t="s">
        <v>934</v>
      </c>
      <c r="S133" s="33">
        <f>23709.75</f>
        <v>23709.75</v>
      </c>
      <c r="T133" s="30">
        <f>4930</f>
        <v>4930</v>
      </c>
      <c r="U133" s="30">
        <f>2</f>
        <v>2</v>
      </c>
      <c r="V133" s="30">
        <f>117348065</f>
        <v>117348065</v>
      </c>
      <c r="W133" s="30">
        <f>46490</f>
        <v>46490</v>
      </c>
      <c r="X133" s="34">
        <f>20</f>
        <v>20</v>
      </c>
    </row>
    <row r="134" spans="1:24" x14ac:dyDescent="0.15">
      <c r="A134" s="25" t="s">
        <v>1014</v>
      </c>
      <c r="B134" s="25" t="s">
        <v>439</v>
      </c>
      <c r="C134" s="25" t="s">
        <v>440</v>
      </c>
      <c r="D134" s="25" t="s">
        <v>441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17050</f>
        <v>17050</v>
      </c>
      <c r="L134" s="32" t="s">
        <v>904</v>
      </c>
      <c r="M134" s="31">
        <f>17470</f>
        <v>17470</v>
      </c>
      <c r="N134" s="32" t="s">
        <v>56</v>
      </c>
      <c r="O134" s="31">
        <f>16065</f>
        <v>16065</v>
      </c>
      <c r="P134" s="32" t="s">
        <v>934</v>
      </c>
      <c r="Q134" s="31">
        <f>16075</f>
        <v>16075</v>
      </c>
      <c r="R134" s="32" t="s">
        <v>934</v>
      </c>
      <c r="S134" s="33">
        <f>16853.75</f>
        <v>16853.75</v>
      </c>
      <c r="T134" s="30">
        <f>1951</f>
        <v>1951</v>
      </c>
      <c r="U134" s="30" t="str">
        <f>"－"</f>
        <v>－</v>
      </c>
      <c r="V134" s="30">
        <f>32968735</f>
        <v>32968735</v>
      </c>
      <c r="W134" s="30" t="str">
        <f>"－"</f>
        <v>－</v>
      </c>
      <c r="X134" s="34">
        <f>20</f>
        <v>20</v>
      </c>
    </row>
    <row r="135" spans="1:24" x14ac:dyDescent="0.15">
      <c r="A135" s="25" t="s">
        <v>1014</v>
      </c>
      <c r="B135" s="25" t="s">
        <v>442</v>
      </c>
      <c r="C135" s="25" t="s">
        <v>443</v>
      </c>
      <c r="D135" s="25" t="s">
        <v>444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38970</f>
        <v>38970</v>
      </c>
      <c r="L135" s="32" t="s">
        <v>904</v>
      </c>
      <c r="M135" s="31">
        <f>40050</f>
        <v>40050</v>
      </c>
      <c r="N135" s="32" t="s">
        <v>813</v>
      </c>
      <c r="O135" s="31">
        <f>35900</f>
        <v>35900</v>
      </c>
      <c r="P135" s="32" t="s">
        <v>94</v>
      </c>
      <c r="Q135" s="31">
        <f>35980</f>
        <v>35980</v>
      </c>
      <c r="R135" s="32" t="s">
        <v>934</v>
      </c>
      <c r="S135" s="33">
        <f>38071.5</f>
        <v>38071.5</v>
      </c>
      <c r="T135" s="30">
        <f>880</f>
        <v>880</v>
      </c>
      <c r="U135" s="30" t="str">
        <f>"－"</f>
        <v>－</v>
      </c>
      <c r="V135" s="30">
        <f>33484600</f>
        <v>33484600</v>
      </c>
      <c r="W135" s="30" t="str">
        <f>"－"</f>
        <v>－</v>
      </c>
      <c r="X135" s="34">
        <f>20</f>
        <v>20</v>
      </c>
    </row>
    <row r="136" spans="1:24" x14ac:dyDescent="0.15">
      <c r="A136" s="25" t="s">
        <v>1014</v>
      </c>
      <c r="B136" s="25" t="s">
        <v>445</v>
      </c>
      <c r="C136" s="25" t="s">
        <v>446</v>
      </c>
      <c r="D136" s="25" t="s">
        <v>447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27150</f>
        <v>27150</v>
      </c>
      <c r="L136" s="32" t="s">
        <v>904</v>
      </c>
      <c r="M136" s="31">
        <f>27640</f>
        <v>27640</v>
      </c>
      <c r="N136" s="32" t="s">
        <v>813</v>
      </c>
      <c r="O136" s="31">
        <f>24485</f>
        <v>24485</v>
      </c>
      <c r="P136" s="32" t="s">
        <v>934</v>
      </c>
      <c r="Q136" s="31">
        <f>24560</f>
        <v>24560</v>
      </c>
      <c r="R136" s="32" t="s">
        <v>934</v>
      </c>
      <c r="S136" s="33">
        <f>26329</f>
        <v>26329</v>
      </c>
      <c r="T136" s="30">
        <f>4014</f>
        <v>4014</v>
      </c>
      <c r="U136" s="30" t="str">
        <f>"－"</f>
        <v>－</v>
      </c>
      <c r="V136" s="30">
        <f>104340835</f>
        <v>104340835</v>
      </c>
      <c r="W136" s="30" t="str">
        <f>"－"</f>
        <v>－</v>
      </c>
      <c r="X136" s="34">
        <f>20</f>
        <v>20</v>
      </c>
    </row>
    <row r="137" spans="1:24" x14ac:dyDescent="0.15">
      <c r="A137" s="25" t="s">
        <v>1014</v>
      </c>
      <c r="B137" s="25" t="s">
        <v>448</v>
      </c>
      <c r="C137" s="25" t="s">
        <v>449</v>
      </c>
      <c r="D137" s="25" t="s">
        <v>450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27840</f>
        <v>27840</v>
      </c>
      <c r="L137" s="32" t="s">
        <v>904</v>
      </c>
      <c r="M137" s="31">
        <f>28740</f>
        <v>28740</v>
      </c>
      <c r="N137" s="32" t="s">
        <v>56</v>
      </c>
      <c r="O137" s="31">
        <f>26650</f>
        <v>26650</v>
      </c>
      <c r="P137" s="32" t="s">
        <v>94</v>
      </c>
      <c r="Q137" s="31">
        <f>27155</f>
        <v>27155</v>
      </c>
      <c r="R137" s="32" t="s">
        <v>934</v>
      </c>
      <c r="S137" s="33">
        <f>27757.75</f>
        <v>27757.75</v>
      </c>
      <c r="T137" s="30">
        <f>842</f>
        <v>842</v>
      </c>
      <c r="U137" s="30" t="str">
        <f>"－"</f>
        <v>－</v>
      </c>
      <c r="V137" s="30">
        <f>23272000</f>
        <v>23272000</v>
      </c>
      <c r="W137" s="30" t="str">
        <f>"－"</f>
        <v>－</v>
      </c>
      <c r="X137" s="34">
        <f>20</f>
        <v>20</v>
      </c>
    </row>
    <row r="138" spans="1:24" x14ac:dyDescent="0.15">
      <c r="A138" s="25" t="s">
        <v>1014</v>
      </c>
      <c r="B138" s="25" t="s">
        <v>451</v>
      </c>
      <c r="C138" s="25" t="s">
        <v>452</v>
      </c>
      <c r="D138" s="25" t="s">
        <v>453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6484</f>
        <v>6484</v>
      </c>
      <c r="L138" s="32" t="s">
        <v>904</v>
      </c>
      <c r="M138" s="31">
        <f>6484</f>
        <v>6484</v>
      </c>
      <c r="N138" s="32" t="s">
        <v>904</v>
      </c>
      <c r="O138" s="31">
        <f>6009</f>
        <v>6009</v>
      </c>
      <c r="P138" s="32" t="s">
        <v>94</v>
      </c>
      <c r="Q138" s="31">
        <f>6043</f>
        <v>6043</v>
      </c>
      <c r="R138" s="32" t="s">
        <v>934</v>
      </c>
      <c r="S138" s="33">
        <f>6279.25</f>
        <v>6279.25</v>
      </c>
      <c r="T138" s="30">
        <f>16799</f>
        <v>16799</v>
      </c>
      <c r="U138" s="30">
        <f>1</f>
        <v>1</v>
      </c>
      <c r="V138" s="30">
        <f>105899268</f>
        <v>105899268</v>
      </c>
      <c r="W138" s="30">
        <f>5974</f>
        <v>5974</v>
      </c>
      <c r="X138" s="34">
        <f>20</f>
        <v>20</v>
      </c>
    </row>
    <row r="139" spans="1:24" x14ac:dyDescent="0.15">
      <c r="A139" s="25" t="s">
        <v>1014</v>
      </c>
      <c r="B139" s="25" t="s">
        <v>454</v>
      </c>
      <c r="C139" s="25" t="s">
        <v>455</v>
      </c>
      <c r="D139" s="25" t="s">
        <v>456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15990</f>
        <v>15990</v>
      </c>
      <c r="L139" s="32" t="s">
        <v>904</v>
      </c>
      <c r="M139" s="31">
        <f>16470</f>
        <v>16470</v>
      </c>
      <c r="N139" s="32" t="s">
        <v>915</v>
      </c>
      <c r="O139" s="31">
        <f>15340</f>
        <v>15340</v>
      </c>
      <c r="P139" s="32" t="s">
        <v>70</v>
      </c>
      <c r="Q139" s="31">
        <f>15740</f>
        <v>15740</v>
      </c>
      <c r="R139" s="32" t="s">
        <v>934</v>
      </c>
      <c r="S139" s="33">
        <f>15940.25</f>
        <v>15940.25</v>
      </c>
      <c r="T139" s="30">
        <f>11133</f>
        <v>11133</v>
      </c>
      <c r="U139" s="30" t="str">
        <f>"－"</f>
        <v>－</v>
      </c>
      <c r="V139" s="30">
        <f>177346625</f>
        <v>177346625</v>
      </c>
      <c r="W139" s="30" t="str">
        <f>"－"</f>
        <v>－</v>
      </c>
      <c r="X139" s="34">
        <f>20</f>
        <v>20</v>
      </c>
    </row>
    <row r="140" spans="1:24" x14ac:dyDescent="0.15">
      <c r="A140" s="25" t="s">
        <v>1014</v>
      </c>
      <c r="B140" s="25" t="s">
        <v>457</v>
      </c>
      <c r="C140" s="25" t="s">
        <v>458</v>
      </c>
      <c r="D140" s="25" t="s">
        <v>459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46610</f>
        <v>46610</v>
      </c>
      <c r="L140" s="32" t="s">
        <v>904</v>
      </c>
      <c r="M140" s="31">
        <f>46970</f>
        <v>46970</v>
      </c>
      <c r="N140" s="32" t="s">
        <v>56</v>
      </c>
      <c r="O140" s="31">
        <f>43710</f>
        <v>43710</v>
      </c>
      <c r="P140" s="32" t="s">
        <v>94</v>
      </c>
      <c r="Q140" s="31">
        <f>44140</f>
        <v>44140</v>
      </c>
      <c r="R140" s="32" t="s">
        <v>934</v>
      </c>
      <c r="S140" s="33">
        <f>45647</f>
        <v>45647</v>
      </c>
      <c r="T140" s="30">
        <f>2698</f>
        <v>2698</v>
      </c>
      <c r="U140" s="30">
        <f>2</f>
        <v>2</v>
      </c>
      <c r="V140" s="30">
        <f>122936320</f>
        <v>122936320</v>
      </c>
      <c r="W140" s="30">
        <f>92030</f>
        <v>92030</v>
      </c>
      <c r="X140" s="34">
        <f>20</f>
        <v>20</v>
      </c>
    </row>
    <row r="141" spans="1:24" x14ac:dyDescent="0.15">
      <c r="A141" s="25" t="s">
        <v>1014</v>
      </c>
      <c r="B141" s="25" t="s">
        <v>460</v>
      </c>
      <c r="C141" s="25" t="s">
        <v>461</v>
      </c>
      <c r="D141" s="25" t="s">
        <v>462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22155</f>
        <v>22155</v>
      </c>
      <c r="L141" s="32" t="s">
        <v>904</v>
      </c>
      <c r="M141" s="31">
        <f>22980</f>
        <v>22980</v>
      </c>
      <c r="N141" s="32" t="s">
        <v>56</v>
      </c>
      <c r="O141" s="31">
        <f>21675</f>
        <v>21675</v>
      </c>
      <c r="P141" s="32" t="s">
        <v>70</v>
      </c>
      <c r="Q141" s="31">
        <f>22230</f>
        <v>22230</v>
      </c>
      <c r="R141" s="32" t="s">
        <v>934</v>
      </c>
      <c r="S141" s="33">
        <f>22316.25</f>
        <v>22316.25</v>
      </c>
      <c r="T141" s="30">
        <f>622</f>
        <v>622</v>
      </c>
      <c r="U141" s="30" t="str">
        <f>"－"</f>
        <v>－</v>
      </c>
      <c r="V141" s="30">
        <f>14014530</f>
        <v>14014530</v>
      </c>
      <c r="W141" s="30" t="str">
        <f>"－"</f>
        <v>－</v>
      </c>
      <c r="X141" s="34">
        <f>20</f>
        <v>20</v>
      </c>
    </row>
    <row r="142" spans="1:24" x14ac:dyDescent="0.15">
      <c r="A142" s="25" t="s">
        <v>1014</v>
      </c>
      <c r="B142" s="25" t="s">
        <v>463</v>
      </c>
      <c r="C142" s="25" t="s">
        <v>464</v>
      </c>
      <c r="D142" s="25" t="s">
        <v>465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8520</f>
        <v>8520</v>
      </c>
      <c r="L142" s="32" t="s">
        <v>904</v>
      </c>
      <c r="M142" s="31">
        <f>8837</f>
        <v>8837</v>
      </c>
      <c r="N142" s="32" t="s">
        <v>66</v>
      </c>
      <c r="O142" s="31">
        <f>8258</f>
        <v>8258</v>
      </c>
      <c r="P142" s="32" t="s">
        <v>94</v>
      </c>
      <c r="Q142" s="31">
        <f>8400</f>
        <v>8400</v>
      </c>
      <c r="R142" s="32" t="s">
        <v>934</v>
      </c>
      <c r="S142" s="33">
        <f>8545.05</f>
        <v>8545.0499999999993</v>
      </c>
      <c r="T142" s="30">
        <f>13844</f>
        <v>13844</v>
      </c>
      <c r="U142" s="30" t="str">
        <f>"－"</f>
        <v>－</v>
      </c>
      <c r="V142" s="30">
        <f>119264048</f>
        <v>119264048</v>
      </c>
      <c r="W142" s="30" t="str">
        <f>"－"</f>
        <v>－</v>
      </c>
      <c r="X142" s="34">
        <f>20</f>
        <v>20</v>
      </c>
    </row>
    <row r="143" spans="1:24" x14ac:dyDescent="0.15">
      <c r="A143" s="25" t="s">
        <v>1014</v>
      </c>
      <c r="B143" s="25" t="s">
        <v>466</v>
      </c>
      <c r="C143" s="25" t="s">
        <v>467</v>
      </c>
      <c r="D143" s="25" t="s">
        <v>468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14600</f>
        <v>14600</v>
      </c>
      <c r="L143" s="32" t="s">
        <v>904</v>
      </c>
      <c r="M143" s="31">
        <f>14970</f>
        <v>14970</v>
      </c>
      <c r="N143" s="32" t="s">
        <v>87</v>
      </c>
      <c r="O143" s="31">
        <f>13970</f>
        <v>13970</v>
      </c>
      <c r="P143" s="32" t="s">
        <v>94</v>
      </c>
      <c r="Q143" s="31">
        <f>14235</f>
        <v>14235</v>
      </c>
      <c r="R143" s="32" t="s">
        <v>934</v>
      </c>
      <c r="S143" s="33">
        <f>14624</f>
        <v>14624</v>
      </c>
      <c r="T143" s="30">
        <f>1646</f>
        <v>1646</v>
      </c>
      <c r="U143" s="30" t="str">
        <f>"－"</f>
        <v>－</v>
      </c>
      <c r="V143" s="30">
        <f>23682255</f>
        <v>23682255</v>
      </c>
      <c r="W143" s="30" t="str">
        <f>"－"</f>
        <v>－</v>
      </c>
      <c r="X143" s="34">
        <f>20</f>
        <v>20</v>
      </c>
    </row>
    <row r="144" spans="1:24" x14ac:dyDescent="0.15">
      <c r="A144" s="25" t="s">
        <v>1014</v>
      </c>
      <c r="B144" s="25" t="s">
        <v>469</v>
      </c>
      <c r="C144" s="25" t="s">
        <v>470</v>
      </c>
      <c r="D144" s="25" t="s">
        <v>471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30100</f>
        <v>30100</v>
      </c>
      <c r="L144" s="32" t="s">
        <v>904</v>
      </c>
      <c r="M144" s="31">
        <f>31520</f>
        <v>31520</v>
      </c>
      <c r="N144" s="32" t="s">
        <v>87</v>
      </c>
      <c r="O144" s="31">
        <f>28900</f>
        <v>28900</v>
      </c>
      <c r="P144" s="32" t="s">
        <v>94</v>
      </c>
      <c r="Q144" s="31">
        <f>29810</f>
        <v>29810</v>
      </c>
      <c r="R144" s="32" t="s">
        <v>934</v>
      </c>
      <c r="S144" s="33">
        <f>30405.5</f>
        <v>30405.5</v>
      </c>
      <c r="T144" s="30">
        <f>1377</f>
        <v>1377</v>
      </c>
      <c r="U144" s="30" t="str">
        <f>"－"</f>
        <v>－</v>
      </c>
      <c r="V144" s="30">
        <f>41806710</f>
        <v>41806710</v>
      </c>
      <c r="W144" s="30" t="str">
        <f>"－"</f>
        <v>－</v>
      </c>
      <c r="X144" s="34">
        <f>20</f>
        <v>20</v>
      </c>
    </row>
    <row r="145" spans="1:24" x14ac:dyDescent="0.15">
      <c r="A145" s="25" t="s">
        <v>1014</v>
      </c>
      <c r="B145" s="25" t="s">
        <v>472</v>
      </c>
      <c r="C145" s="25" t="s">
        <v>473</v>
      </c>
      <c r="D145" s="25" t="s">
        <v>474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1231</f>
        <v>1231</v>
      </c>
      <c r="L145" s="32" t="s">
        <v>904</v>
      </c>
      <c r="M145" s="31">
        <f>1256.5</f>
        <v>1256.5</v>
      </c>
      <c r="N145" s="32" t="s">
        <v>813</v>
      </c>
      <c r="O145" s="31">
        <f>1176</f>
        <v>1176</v>
      </c>
      <c r="P145" s="32" t="s">
        <v>94</v>
      </c>
      <c r="Q145" s="31">
        <f>1189</f>
        <v>1189</v>
      </c>
      <c r="R145" s="32" t="s">
        <v>934</v>
      </c>
      <c r="S145" s="33">
        <f>1224.4</f>
        <v>1224.4000000000001</v>
      </c>
      <c r="T145" s="30">
        <f>983760</f>
        <v>983760</v>
      </c>
      <c r="U145" s="30">
        <f>619850</f>
        <v>619850</v>
      </c>
      <c r="V145" s="30">
        <f>1206399118</f>
        <v>1206399118</v>
      </c>
      <c r="W145" s="30">
        <f>762552698</f>
        <v>762552698</v>
      </c>
      <c r="X145" s="34">
        <f>20</f>
        <v>20</v>
      </c>
    </row>
    <row r="146" spans="1:24" x14ac:dyDescent="0.15">
      <c r="A146" s="25" t="s">
        <v>1014</v>
      </c>
      <c r="B146" s="25" t="s">
        <v>475</v>
      </c>
      <c r="C146" s="25" t="s">
        <v>476</v>
      </c>
      <c r="D146" s="25" t="s">
        <v>477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2293.5</f>
        <v>2293.5</v>
      </c>
      <c r="L146" s="32" t="s">
        <v>80</v>
      </c>
      <c r="M146" s="31">
        <f>2361</f>
        <v>2361</v>
      </c>
      <c r="N146" s="32" t="s">
        <v>56</v>
      </c>
      <c r="O146" s="31">
        <f>2224</f>
        <v>2224</v>
      </c>
      <c r="P146" s="32" t="s">
        <v>266</v>
      </c>
      <c r="Q146" s="31">
        <f>2224</f>
        <v>2224</v>
      </c>
      <c r="R146" s="32" t="s">
        <v>266</v>
      </c>
      <c r="S146" s="33">
        <f>2303.5</f>
        <v>2303.5</v>
      </c>
      <c r="T146" s="30">
        <f>410</f>
        <v>410</v>
      </c>
      <c r="U146" s="30" t="str">
        <f>"－"</f>
        <v>－</v>
      </c>
      <c r="V146" s="30">
        <f>939985</f>
        <v>939985</v>
      </c>
      <c r="W146" s="30" t="str">
        <f>"－"</f>
        <v>－</v>
      </c>
      <c r="X146" s="34">
        <f>5</f>
        <v>5</v>
      </c>
    </row>
    <row r="147" spans="1:24" x14ac:dyDescent="0.15">
      <c r="A147" s="25" t="s">
        <v>1014</v>
      </c>
      <c r="B147" s="25" t="s">
        <v>478</v>
      </c>
      <c r="C147" s="25" t="s">
        <v>479</v>
      </c>
      <c r="D147" s="25" t="s">
        <v>480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2455</f>
        <v>2455</v>
      </c>
      <c r="L147" s="32" t="s">
        <v>909</v>
      </c>
      <c r="M147" s="31">
        <f>2521.5</f>
        <v>2521.5</v>
      </c>
      <c r="N147" s="32" t="s">
        <v>56</v>
      </c>
      <c r="O147" s="31">
        <f>2342</f>
        <v>2342</v>
      </c>
      <c r="P147" s="32" t="s">
        <v>94</v>
      </c>
      <c r="Q147" s="31">
        <f>2343</f>
        <v>2343</v>
      </c>
      <c r="R147" s="32" t="s">
        <v>934</v>
      </c>
      <c r="S147" s="33">
        <f>2436.89</f>
        <v>2436.89</v>
      </c>
      <c r="T147" s="30">
        <f>94240</f>
        <v>94240</v>
      </c>
      <c r="U147" s="30">
        <f>4070</f>
        <v>4070</v>
      </c>
      <c r="V147" s="30">
        <f>231964690</f>
        <v>231964690</v>
      </c>
      <c r="W147" s="30">
        <f>9983710</f>
        <v>9983710</v>
      </c>
      <c r="X147" s="34">
        <f>14</f>
        <v>14</v>
      </c>
    </row>
    <row r="148" spans="1:24" x14ac:dyDescent="0.15">
      <c r="A148" s="25" t="s">
        <v>1014</v>
      </c>
      <c r="B148" s="25" t="s">
        <v>481</v>
      </c>
      <c r="C148" s="25" t="s">
        <v>482</v>
      </c>
      <c r="D148" s="25" t="s">
        <v>483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1528</f>
        <v>1528</v>
      </c>
      <c r="L148" s="32" t="s">
        <v>904</v>
      </c>
      <c r="M148" s="31">
        <f>1559</f>
        <v>1559</v>
      </c>
      <c r="N148" s="32" t="s">
        <v>56</v>
      </c>
      <c r="O148" s="31">
        <f>1441</f>
        <v>1441</v>
      </c>
      <c r="P148" s="32" t="s">
        <v>94</v>
      </c>
      <c r="Q148" s="31">
        <f>1475.5</f>
        <v>1475.5</v>
      </c>
      <c r="R148" s="32" t="s">
        <v>936</v>
      </c>
      <c r="S148" s="33">
        <f>1507.36</f>
        <v>1507.36</v>
      </c>
      <c r="T148" s="30">
        <f>2650</f>
        <v>2650</v>
      </c>
      <c r="U148" s="30" t="str">
        <f>"－"</f>
        <v>－</v>
      </c>
      <c r="V148" s="30">
        <f>3954820</f>
        <v>3954820</v>
      </c>
      <c r="W148" s="30" t="str">
        <f>"－"</f>
        <v>－</v>
      </c>
      <c r="X148" s="34">
        <f>11</f>
        <v>11</v>
      </c>
    </row>
    <row r="149" spans="1:24" x14ac:dyDescent="0.15">
      <c r="A149" s="25" t="s">
        <v>1014</v>
      </c>
      <c r="B149" s="25" t="s">
        <v>484</v>
      </c>
      <c r="C149" s="25" t="s">
        <v>485</v>
      </c>
      <c r="D149" s="25" t="s">
        <v>486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394.1</f>
        <v>394.1</v>
      </c>
      <c r="L149" s="32" t="s">
        <v>904</v>
      </c>
      <c r="M149" s="31">
        <f>422.4</f>
        <v>422.4</v>
      </c>
      <c r="N149" s="32" t="s">
        <v>56</v>
      </c>
      <c r="O149" s="31">
        <f>376</f>
        <v>376</v>
      </c>
      <c r="P149" s="32" t="s">
        <v>94</v>
      </c>
      <c r="Q149" s="31">
        <f>378</f>
        <v>378</v>
      </c>
      <c r="R149" s="32" t="s">
        <v>934</v>
      </c>
      <c r="S149" s="33">
        <f>398.54</f>
        <v>398.54</v>
      </c>
      <c r="T149" s="30">
        <f>51362310</f>
        <v>51362310</v>
      </c>
      <c r="U149" s="30">
        <f>1555120</f>
        <v>1555120</v>
      </c>
      <c r="V149" s="30">
        <f>20299523183</f>
        <v>20299523183</v>
      </c>
      <c r="W149" s="30">
        <f>629933694</f>
        <v>629933694</v>
      </c>
      <c r="X149" s="34">
        <f>20</f>
        <v>20</v>
      </c>
    </row>
    <row r="150" spans="1:24" x14ac:dyDescent="0.15">
      <c r="A150" s="25" t="s">
        <v>1014</v>
      </c>
      <c r="B150" s="25" t="s">
        <v>487</v>
      </c>
      <c r="C150" s="25" t="s">
        <v>488</v>
      </c>
      <c r="D150" s="25" t="s">
        <v>489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2902</f>
        <v>2902</v>
      </c>
      <c r="L150" s="32" t="s">
        <v>904</v>
      </c>
      <c r="M150" s="31">
        <f>2985</f>
        <v>2985</v>
      </c>
      <c r="N150" s="32" t="s">
        <v>912</v>
      </c>
      <c r="O150" s="31">
        <f>2822</f>
        <v>2822</v>
      </c>
      <c r="P150" s="32" t="s">
        <v>94</v>
      </c>
      <c r="Q150" s="31">
        <f>2870</f>
        <v>2870</v>
      </c>
      <c r="R150" s="32" t="s">
        <v>934</v>
      </c>
      <c r="S150" s="33">
        <f>2908.15</f>
        <v>2908.15</v>
      </c>
      <c r="T150" s="30">
        <f>2708432</f>
        <v>2708432</v>
      </c>
      <c r="U150" s="30">
        <f>2302125</f>
        <v>2302125</v>
      </c>
      <c r="V150" s="30">
        <f>7871289092</f>
        <v>7871289092</v>
      </c>
      <c r="W150" s="30">
        <f>6691679193</f>
        <v>6691679193</v>
      </c>
      <c r="X150" s="34">
        <f>20</f>
        <v>20</v>
      </c>
    </row>
    <row r="151" spans="1:24" x14ac:dyDescent="0.15">
      <c r="A151" s="25" t="s">
        <v>1014</v>
      </c>
      <c r="B151" s="25" t="s">
        <v>490</v>
      </c>
      <c r="C151" s="25" t="s">
        <v>491</v>
      </c>
      <c r="D151" s="25" t="s">
        <v>492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3390</f>
        <v>3390</v>
      </c>
      <c r="L151" s="32" t="s">
        <v>904</v>
      </c>
      <c r="M151" s="31">
        <f>3605</f>
        <v>3605</v>
      </c>
      <c r="N151" s="32" t="s">
        <v>56</v>
      </c>
      <c r="O151" s="31">
        <f>3180</f>
        <v>3180</v>
      </c>
      <c r="P151" s="32" t="s">
        <v>94</v>
      </c>
      <c r="Q151" s="31">
        <f>3220</f>
        <v>3220</v>
      </c>
      <c r="R151" s="32" t="s">
        <v>934</v>
      </c>
      <c r="S151" s="33">
        <f>3399</f>
        <v>3399</v>
      </c>
      <c r="T151" s="30">
        <f>80348</f>
        <v>80348</v>
      </c>
      <c r="U151" s="30">
        <f>2050</f>
        <v>2050</v>
      </c>
      <c r="V151" s="30">
        <f>269426108</f>
        <v>269426108</v>
      </c>
      <c r="W151" s="30">
        <f>7043103</f>
        <v>7043103</v>
      </c>
      <c r="X151" s="34">
        <f>20</f>
        <v>20</v>
      </c>
    </row>
    <row r="152" spans="1:24" x14ac:dyDescent="0.15">
      <c r="A152" s="25" t="s">
        <v>1014</v>
      </c>
      <c r="B152" s="25" t="s">
        <v>493</v>
      </c>
      <c r="C152" s="25" t="s">
        <v>494</v>
      </c>
      <c r="D152" s="25" t="s">
        <v>495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2261</f>
        <v>2261</v>
      </c>
      <c r="L152" s="32" t="s">
        <v>904</v>
      </c>
      <c r="M152" s="31">
        <f>2336</f>
        <v>2336</v>
      </c>
      <c r="N152" s="32" t="s">
        <v>56</v>
      </c>
      <c r="O152" s="31">
        <f>2058</f>
        <v>2058</v>
      </c>
      <c r="P152" s="32" t="s">
        <v>934</v>
      </c>
      <c r="Q152" s="31">
        <f>2093</f>
        <v>2093</v>
      </c>
      <c r="R152" s="32" t="s">
        <v>934</v>
      </c>
      <c r="S152" s="33">
        <f>2226.55</f>
        <v>2226.5500000000002</v>
      </c>
      <c r="T152" s="30">
        <f>161777</f>
        <v>161777</v>
      </c>
      <c r="U152" s="30">
        <f>2</f>
        <v>2</v>
      </c>
      <c r="V152" s="30">
        <f>355530050</f>
        <v>355530050</v>
      </c>
      <c r="W152" s="30">
        <f>4344</f>
        <v>4344</v>
      </c>
      <c r="X152" s="34">
        <f>20</f>
        <v>20</v>
      </c>
    </row>
    <row r="153" spans="1:24" x14ac:dyDescent="0.15">
      <c r="A153" s="25" t="s">
        <v>1014</v>
      </c>
      <c r="B153" s="25" t="s">
        <v>496</v>
      </c>
      <c r="C153" s="25" t="s">
        <v>497</v>
      </c>
      <c r="D153" s="25" t="s">
        <v>498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2835</f>
        <v>2835</v>
      </c>
      <c r="L153" s="32" t="s">
        <v>904</v>
      </c>
      <c r="M153" s="31">
        <f>3010</f>
        <v>3010</v>
      </c>
      <c r="N153" s="32" t="s">
        <v>56</v>
      </c>
      <c r="O153" s="31">
        <f>2539</f>
        <v>2539</v>
      </c>
      <c r="P153" s="32" t="s">
        <v>934</v>
      </c>
      <c r="Q153" s="31">
        <f>2543</f>
        <v>2543</v>
      </c>
      <c r="R153" s="32" t="s">
        <v>934</v>
      </c>
      <c r="S153" s="33">
        <f>2804.4</f>
        <v>2804.4</v>
      </c>
      <c r="T153" s="30">
        <f>218812</f>
        <v>218812</v>
      </c>
      <c r="U153" s="30">
        <f>24</f>
        <v>24</v>
      </c>
      <c r="V153" s="30">
        <f>604875772</f>
        <v>604875772</v>
      </c>
      <c r="W153" s="30">
        <f>76860</f>
        <v>76860</v>
      </c>
      <c r="X153" s="34">
        <f>20</f>
        <v>20</v>
      </c>
    </row>
    <row r="154" spans="1:24" x14ac:dyDescent="0.15">
      <c r="A154" s="25" t="s">
        <v>1014</v>
      </c>
      <c r="B154" s="25" t="s">
        <v>499</v>
      </c>
      <c r="C154" s="25" t="s">
        <v>500</v>
      </c>
      <c r="D154" s="25" t="s">
        <v>501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11560</f>
        <v>11560</v>
      </c>
      <c r="L154" s="32" t="s">
        <v>904</v>
      </c>
      <c r="M154" s="31">
        <f>11650</f>
        <v>11650</v>
      </c>
      <c r="N154" s="32" t="s">
        <v>87</v>
      </c>
      <c r="O154" s="31">
        <f>10925</f>
        <v>10925</v>
      </c>
      <c r="P154" s="32" t="s">
        <v>94</v>
      </c>
      <c r="Q154" s="31">
        <f>11140</f>
        <v>11140</v>
      </c>
      <c r="R154" s="32" t="s">
        <v>934</v>
      </c>
      <c r="S154" s="33">
        <f>11431.75</f>
        <v>11431.75</v>
      </c>
      <c r="T154" s="30">
        <f>37403</f>
        <v>37403</v>
      </c>
      <c r="U154" s="30">
        <f>17504</f>
        <v>17504</v>
      </c>
      <c r="V154" s="30">
        <f>426886455</f>
        <v>426886455</v>
      </c>
      <c r="W154" s="30">
        <f>201292870</f>
        <v>201292870</v>
      </c>
      <c r="X154" s="34">
        <f>20</f>
        <v>20</v>
      </c>
    </row>
    <row r="155" spans="1:24" x14ac:dyDescent="0.15">
      <c r="A155" s="25" t="s">
        <v>1014</v>
      </c>
      <c r="B155" s="25" t="s">
        <v>502</v>
      </c>
      <c r="C155" s="25" t="s">
        <v>503</v>
      </c>
      <c r="D155" s="25" t="s">
        <v>504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2886</f>
        <v>2886</v>
      </c>
      <c r="L155" s="32" t="s">
        <v>904</v>
      </c>
      <c r="M155" s="31">
        <f>2960</f>
        <v>2960</v>
      </c>
      <c r="N155" s="32" t="s">
        <v>915</v>
      </c>
      <c r="O155" s="31">
        <f>2585</f>
        <v>2585</v>
      </c>
      <c r="P155" s="32" t="s">
        <v>266</v>
      </c>
      <c r="Q155" s="31">
        <f>2736</f>
        <v>2736</v>
      </c>
      <c r="R155" s="32" t="s">
        <v>934</v>
      </c>
      <c r="S155" s="33">
        <f>2811.55</f>
        <v>2811.55</v>
      </c>
      <c r="T155" s="30">
        <f>15901258</f>
        <v>15901258</v>
      </c>
      <c r="U155" s="30">
        <f>36</f>
        <v>36</v>
      </c>
      <c r="V155" s="30">
        <f>44763974060</f>
        <v>44763974060</v>
      </c>
      <c r="W155" s="30">
        <f>104041</f>
        <v>104041</v>
      </c>
      <c r="X155" s="34">
        <f>20</f>
        <v>20</v>
      </c>
    </row>
    <row r="156" spans="1:24" x14ac:dyDescent="0.15">
      <c r="A156" s="25" t="s">
        <v>1014</v>
      </c>
      <c r="B156" s="25" t="s">
        <v>505</v>
      </c>
      <c r="C156" s="25" t="s">
        <v>506</v>
      </c>
      <c r="D156" s="25" t="s">
        <v>507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22475</f>
        <v>22475</v>
      </c>
      <c r="L156" s="32" t="s">
        <v>904</v>
      </c>
      <c r="M156" s="31">
        <f>23465</f>
        <v>23465</v>
      </c>
      <c r="N156" s="32" t="s">
        <v>912</v>
      </c>
      <c r="O156" s="31">
        <f>22020</f>
        <v>22020</v>
      </c>
      <c r="P156" s="32" t="s">
        <v>812</v>
      </c>
      <c r="Q156" s="31">
        <f>22635</f>
        <v>22635</v>
      </c>
      <c r="R156" s="32" t="s">
        <v>934</v>
      </c>
      <c r="S156" s="33">
        <f>22670</f>
        <v>22670</v>
      </c>
      <c r="T156" s="30">
        <f>3113</f>
        <v>3113</v>
      </c>
      <c r="U156" s="30" t="str">
        <f>"－"</f>
        <v>－</v>
      </c>
      <c r="V156" s="30">
        <f>70803825</f>
        <v>70803825</v>
      </c>
      <c r="W156" s="30" t="str">
        <f>"－"</f>
        <v>－</v>
      </c>
      <c r="X156" s="34">
        <f>20</f>
        <v>20</v>
      </c>
    </row>
    <row r="157" spans="1:24" x14ac:dyDescent="0.15">
      <c r="A157" s="25" t="s">
        <v>1014</v>
      </c>
      <c r="B157" s="25" t="s">
        <v>508</v>
      </c>
      <c r="C157" s="25" t="s">
        <v>509</v>
      </c>
      <c r="D157" s="25" t="s">
        <v>510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2313.5</f>
        <v>2313.5</v>
      </c>
      <c r="L157" s="32" t="s">
        <v>904</v>
      </c>
      <c r="M157" s="31">
        <f>2626.5</f>
        <v>2626.5</v>
      </c>
      <c r="N157" s="32" t="s">
        <v>56</v>
      </c>
      <c r="O157" s="31">
        <f>2286.5</f>
        <v>2286.5</v>
      </c>
      <c r="P157" s="32" t="s">
        <v>904</v>
      </c>
      <c r="Q157" s="31">
        <f>2522</f>
        <v>2522</v>
      </c>
      <c r="R157" s="32" t="s">
        <v>934</v>
      </c>
      <c r="S157" s="33">
        <f>2482.38</f>
        <v>2482.38</v>
      </c>
      <c r="T157" s="30">
        <f>36960</f>
        <v>36960</v>
      </c>
      <c r="U157" s="30" t="str">
        <f>"－"</f>
        <v>－</v>
      </c>
      <c r="V157" s="30">
        <f>90671005</f>
        <v>90671005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1014</v>
      </c>
      <c r="B158" s="25" t="s">
        <v>511</v>
      </c>
      <c r="C158" s="25" t="s">
        <v>512</v>
      </c>
      <c r="D158" s="25" t="s">
        <v>513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11030</f>
        <v>11030</v>
      </c>
      <c r="L158" s="32" t="s">
        <v>904</v>
      </c>
      <c r="M158" s="31">
        <f>12390</f>
        <v>12390</v>
      </c>
      <c r="N158" s="32" t="s">
        <v>66</v>
      </c>
      <c r="O158" s="31">
        <f>10765</f>
        <v>10765</v>
      </c>
      <c r="P158" s="32" t="s">
        <v>904</v>
      </c>
      <c r="Q158" s="31">
        <f>11645</f>
        <v>11645</v>
      </c>
      <c r="R158" s="32" t="s">
        <v>934</v>
      </c>
      <c r="S158" s="33">
        <f>11562</f>
        <v>11562</v>
      </c>
      <c r="T158" s="30">
        <f>4191</f>
        <v>4191</v>
      </c>
      <c r="U158" s="30" t="str">
        <f>"－"</f>
        <v>－</v>
      </c>
      <c r="V158" s="30">
        <f>48826825</f>
        <v>48826825</v>
      </c>
      <c r="W158" s="30" t="str">
        <f>"－"</f>
        <v>－</v>
      </c>
      <c r="X158" s="34">
        <f>20</f>
        <v>20</v>
      </c>
    </row>
    <row r="159" spans="1:24" x14ac:dyDescent="0.15">
      <c r="A159" s="25" t="s">
        <v>1014</v>
      </c>
      <c r="B159" s="25" t="s">
        <v>514</v>
      </c>
      <c r="C159" s="25" t="s">
        <v>515</v>
      </c>
      <c r="D159" s="25" t="s">
        <v>516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27245</f>
        <v>27245</v>
      </c>
      <c r="L159" s="32" t="s">
        <v>904</v>
      </c>
      <c r="M159" s="31">
        <f>29800</f>
        <v>29800</v>
      </c>
      <c r="N159" s="32" t="s">
        <v>56</v>
      </c>
      <c r="O159" s="31">
        <f>25730</f>
        <v>25730</v>
      </c>
      <c r="P159" s="32" t="s">
        <v>909</v>
      </c>
      <c r="Q159" s="31">
        <f>29000</f>
        <v>29000</v>
      </c>
      <c r="R159" s="32" t="s">
        <v>934</v>
      </c>
      <c r="S159" s="33">
        <f>27729.25</f>
        <v>27729.25</v>
      </c>
      <c r="T159" s="30">
        <f>2379</f>
        <v>2379</v>
      </c>
      <c r="U159" s="30" t="str">
        <f>"－"</f>
        <v>－</v>
      </c>
      <c r="V159" s="30">
        <f>67164770</f>
        <v>67164770</v>
      </c>
      <c r="W159" s="30" t="str">
        <f>"－"</f>
        <v>－</v>
      </c>
      <c r="X159" s="34">
        <f>20</f>
        <v>20</v>
      </c>
    </row>
    <row r="160" spans="1:24" x14ac:dyDescent="0.15">
      <c r="A160" s="25" t="s">
        <v>1014</v>
      </c>
      <c r="B160" s="25" t="s">
        <v>517</v>
      </c>
      <c r="C160" s="25" t="s">
        <v>518</v>
      </c>
      <c r="D160" s="25" t="s">
        <v>519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18890</f>
        <v>18890</v>
      </c>
      <c r="L160" s="32" t="s">
        <v>912</v>
      </c>
      <c r="M160" s="31">
        <f>19740</f>
        <v>19740</v>
      </c>
      <c r="N160" s="32" t="s">
        <v>695</v>
      </c>
      <c r="O160" s="31">
        <f>18455</f>
        <v>18455</v>
      </c>
      <c r="P160" s="32" t="s">
        <v>812</v>
      </c>
      <c r="Q160" s="31">
        <f>18885</f>
        <v>18885</v>
      </c>
      <c r="R160" s="32" t="s">
        <v>934</v>
      </c>
      <c r="S160" s="33">
        <f>18985</f>
        <v>18985</v>
      </c>
      <c r="T160" s="30">
        <f>179</f>
        <v>179</v>
      </c>
      <c r="U160" s="30" t="str">
        <f>"－"</f>
        <v>－</v>
      </c>
      <c r="V160" s="30">
        <f>3405905</f>
        <v>3405905</v>
      </c>
      <c r="W160" s="30" t="str">
        <f>"－"</f>
        <v>－</v>
      </c>
      <c r="X160" s="34">
        <f>12</f>
        <v>12</v>
      </c>
    </row>
    <row r="161" spans="1:24" x14ac:dyDescent="0.15">
      <c r="A161" s="25" t="s">
        <v>1014</v>
      </c>
      <c r="B161" s="25" t="s">
        <v>520</v>
      </c>
      <c r="C161" s="25" t="s">
        <v>521</v>
      </c>
      <c r="D161" s="25" t="s">
        <v>522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51730</f>
        <v>51730</v>
      </c>
      <c r="L161" s="32" t="s">
        <v>904</v>
      </c>
      <c r="M161" s="31">
        <f>53300</f>
        <v>53300</v>
      </c>
      <c r="N161" s="32" t="s">
        <v>912</v>
      </c>
      <c r="O161" s="31">
        <f>50020</f>
        <v>50020</v>
      </c>
      <c r="P161" s="32" t="s">
        <v>94</v>
      </c>
      <c r="Q161" s="31">
        <f>50980</f>
        <v>50980</v>
      </c>
      <c r="R161" s="32" t="s">
        <v>934</v>
      </c>
      <c r="S161" s="33">
        <f>51931</f>
        <v>51931</v>
      </c>
      <c r="T161" s="30">
        <f>5530</f>
        <v>5530</v>
      </c>
      <c r="U161" s="30">
        <f>620</f>
        <v>620</v>
      </c>
      <c r="V161" s="30">
        <f>286017320</f>
        <v>286017320</v>
      </c>
      <c r="W161" s="30">
        <f>31235220</f>
        <v>31235220</v>
      </c>
      <c r="X161" s="34">
        <f>20</f>
        <v>20</v>
      </c>
    </row>
    <row r="162" spans="1:24" x14ac:dyDescent="0.15">
      <c r="A162" s="25" t="s">
        <v>1014</v>
      </c>
      <c r="B162" s="25" t="s">
        <v>523</v>
      </c>
      <c r="C162" s="25" t="s">
        <v>524</v>
      </c>
      <c r="D162" s="25" t="s">
        <v>525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271</f>
        <v>271</v>
      </c>
      <c r="L162" s="32" t="s">
        <v>904</v>
      </c>
      <c r="M162" s="31">
        <f>291.6</f>
        <v>291.60000000000002</v>
      </c>
      <c r="N162" s="32" t="s">
        <v>915</v>
      </c>
      <c r="O162" s="31">
        <f>263.3</f>
        <v>263.3</v>
      </c>
      <c r="P162" s="32" t="s">
        <v>934</v>
      </c>
      <c r="Q162" s="31">
        <f>267.9</f>
        <v>267.89999999999998</v>
      </c>
      <c r="R162" s="32" t="s">
        <v>934</v>
      </c>
      <c r="S162" s="33">
        <f>279.46</f>
        <v>279.45999999999998</v>
      </c>
      <c r="T162" s="30">
        <f>17796500</f>
        <v>17796500</v>
      </c>
      <c r="U162" s="30" t="str">
        <f>"－"</f>
        <v>－</v>
      </c>
      <c r="V162" s="30">
        <f>4986599790</f>
        <v>4986599790</v>
      </c>
      <c r="W162" s="30" t="str">
        <f>"－"</f>
        <v>－</v>
      </c>
      <c r="X162" s="34">
        <f>20</f>
        <v>20</v>
      </c>
    </row>
    <row r="163" spans="1:24" x14ac:dyDescent="0.15">
      <c r="A163" s="25" t="s">
        <v>1014</v>
      </c>
      <c r="B163" s="25" t="s">
        <v>526</v>
      </c>
      <c r="C163" s="25" t="s">
        <v>527</v>
      </c>
      <c r="D163" s="25" t="s">
        <v>528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38050</f>
        <v>38050</v>
      </c>
      <c r="L163" s="32" t="s">
        <v>904</v>
      </c>
      <c r="M163" s="31">
        <f>40300</f>
        <v>40300</v>
      </c>
      <c r="N163" s="32" t="s">
        <v>813</v>
      </c>
      <c r="O163" s="31">
        <f>36360</f>
        <v>36360</v>
      </c>
      <c r="P163" s="32" t="s">
        <v>94</v>
      </c>
      <c r="Q163" s="31">
        <f>36630</f>
        <v>36630</v>
      </c>
      <c r="R163" s="32" t="s">
        <v>934</v>
      </c>
      <c r="S163" s="33">
        <f>38324</f>
        <v>38324</v>
      </c>
      <c r="T163" s="30">
        <f>21970</f>
        <v>21970</v>
      </c>
      <c r="U163" s="30">
        <f>8100</f>
        <v>8100</v>
      </c>
      <c r="V163" s="30">
        <f>828293300</f>
        <v>828293300</v>
      </c>
      <c r="W163" s="30">
        <f>298809000</f>
        <v>298809000</v>
      </c>
      <c r="X163" s="34">
        <f>20</f>
        <v>20</v>
      </c>
    </row>
    <row r="164" spans="1:24" x14ac:dyDescent="0.15">
      <c r="A164" s="25" t="s">
        <v>1014</v>
      </c>
      <c r="B164" s="25" t="s">
        <v>529</v>
      </c>
      <c r="C164" s="25" t="s">
        <v>530</v>
      </c>
      <c r="D164" s="25" t="s">
        <v>531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3870</f>
        <v>3870</v>
      </c>
      <c r="L164" s="32" t="s">
        <v>904</v>
      </c>
      <c r="M164" s="31">
        <f>4145</f>
        <v>4145</v>
      </c>
      <c r="N164" s="32" t="s">
        <v>56</v>
      </c>
      <c r="O164" s="31">
        <f>3658</f>
        <v>3658</v>
      </c>
      <c r="P164" s="32" t="s">
        <v>94</v>
      </c>
      <c r="Q164" s="31">
        <f>3698</f>
        <v>3698</v>
      </c>
      <c r="R164" s="32" t="s">
        <v>934</v>
      </c>
      <c r="S164" s="33">
        <f>3901.15</f>
        <v>3901.15</v>
      </c>
      <c r="T164" s="30">
        <f>119520</f>
        <v>119520</v>
      </c>
      <c r="U164" s="30" t="str">
        <f t="shared" ref="U164:U171" si="4">"－"</f>
        <v>－</v>
      </c>
      <c r="V164" s="30">
        <f>463028200</f>
        <v>463028200</v>
      </c>
      <c r="W164" s="30" t="str">
        <f t="shared" ref="W164:W171" si="5">"－"</f>
        <v>－</v>
      </c>
      <c r="X164" s="34">
        <f>20</f>
        <v>20</v>
      </c>
    </row>
    <row r="165" spans="1:24" x14ac:dyDescent="0.15">
      <c r="A165" s="25" t="s">
        <v>1014</v>
      </c>
      <c r="B165" s="25" t="s">
        <v>532</v>
      </c>
      <c r="C165" s="25" t="s">
        <v>533</v>
      </c>
      <c r="D165" s="25" t="s">
        <v>534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1721</f>
        <v>1721</v>
      </c>
      <c r="L165" s="32" t="s">
        <v>904</v>
      </c>
      <c r="M165" s="31">
        <f>1792</f>
        <v>1792</v>
      </c>
      <c r="N165" s="32" t="s">
        <v>56</v>
      </c>
      <c r="O165" s="31">
        <f>1605</f>
        <v>1605</v>
      </c>
      <c r="P165" s="32" t="s">
        <v>94</v>
      </c>
      <c r="Q165" s="31">
        <f>1613</f>
        <v>1613</v>
      </c>
      <c r="R165" s="32" t="s">
        <v>934</v>
      </c>
      <c r="S165" s="33">
        <f>1708.9</f>
        <v>1708.9</v>
      </c>
      <c r="T165" s="30">
        <f>216420</f>
        <v>216420</v>
      </c>
      <c r="U165" s="30" t="str">
        <f t="shared" si="4"/>
        <v>－</v>
      </c>
      <c r="V165" s="30">
        <f>367466110</f>
        <v>367466110</v>
      </c>
      <c r="W165" s="30" t="str">
        <f t="shared" si="5"/>
        <v>－</v>
      </c>
      <c r="X165" s="34">
        <f>20</f>
        <v>20</v>
      </c>
    </row>
    <row r="166" spans="1:24" x14ac:dyDescent="0.15">
      <c r="A166" s="25" t="s">
        <v>1014</v>
      </c>
      <c r="B166" s="25" t="s">
        <v>535</v>
      </c>
      <c r="C166" s="25" t="s">
        <v>536</v>
      </c>
      <c r="D166" s="25" t="s">
        <v>537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100</v>
      </c>
      <c r="K166" s="31">
        <f>202.9</f>
        <v>202.9</v>
      </c>
      <c r="L166" s="32" t="s">
        <v>904</v>
      </c>
      <c r="M166" s="31">
        <f>218.4</f>
        <v>218.4</v>
      </c>
      <c r="N166" s="32" t="s">
        <v>66</v>
      </c>
      <c r="O166" s="31">
        <f>200</f>
        <v>200</v>
      </c>
      <c r="P166" s="32" t="s">
        <v>909</v>
      </c>
      <c r="Q166" s="31">
        <f>211.5</f>
        <v>211.5</v>
      </c>
      <c r="R166" s="32" t="s">
        <v>934</v>
      </c>
      <c r="S166" s="33">
        <f>209.27</f>
        <v>209.27</v>
      </c>
      <c r="T166" s="30">
        <f>270400</f>
        <v>270400</v>
      </c>
      <c r="U166" s="30" t="str">
        <f t="shared" si="4"/>
        <v>－</v>
      </c>
      <c r="V166" s="30">
        <f>57091510</f>
        <v>57091510</v>
      </c>
      <c r="W166" s="30" t="str">
        <f t="shared" si="5"/>
        <v>－</v>
      </c>
      <c r="X166" s="34">
        <f>20</f>
        <v>20</v>
      </c>
    </row>
    <row r="167" spans="1:24" x14ac:dyDescent="0.15">
      <c r="A167" s="25" t="s">
        <v>1014</v>
      </c>
      <c r="B167" s="25" t="s">
        <v>538</v>
      </c>
      <c r="C167" s="25" t="s">
        <v>539</v>
      </c>
      <c r="D167" s="25" t="s">
        <v>540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1725</f>
        <v>1725</v>
      </c>
      <c r="L167" s="32" t="s">
        <v>904</v>
      </c>
      <c r="M167" s="31">
        <f>1797</f>
        <v>1797</v>
      </c>
      <c r="N167" s="32" t="s">
        <v>915</v>
      </c>
      <c r="O167" s="31">
        <f>1631.5</f>
        <v>1631.5</v>
      </c>
      <c r="P167" s="32" t="s">
        <v>266</v>
      </c>
      <c r="Q167" s="31">
        <f>1667</f>
        <v>1667</v>
      </c>
      <c r="R167" s="32" t="s">
        <v>936</v>
      </c>
      <c r="S167" s="33">
        <f>1727.42</f>
        <v>1727.42</v>
      </c>
      <c r="T167" s="30">
        <f>3510</f>
        <v>3510</v>
      </c>
      <c r="U167" s="30" t="str">
        <f t="shared" si="4"/>
        <v>－</v>
      </c>
      <c r="V167" s="30">
        <f>6057190</f>
        <v>6057190</v>
      </c>
      <c r="W167" s="30" t="str">
        <f t="shared" si="5"/>
        <v>－</v>
      </c>
      <c r="X167" s="34">
        <f>18</f>
        <v>18</v>
      </c>
    </row>
    <row r="168" spans="1:24" x14ac:dyDescent="0.15">
      <c r="A168" s="25" t="s">
        <v>1014</v>
      </c>
      <c r="B168" s="25" t="s">
        <v>541</v>
      </c>
      <c r="C168" s="25" t="s">
        <v>542</v>
      </c>
      <c r="D168" s="25" t="s">
        <v>543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805.7</f>
        <v>805.7</v>
      </c>
      <c r="L168" s="32" t="s">
        <v>904</v>
      </c>
      <c r="M168" s="31">
        <f>825</f>
        <v>825</v>
      </c>
      <c r="N168" s="32" t="s">
        <v>915</v>
      </c>
      <c r="O168" s="31">
        <f>690</f>
        <v>690</v>
      </c>
      <c r="P168" s="32" t="s">
        <v>94</v>
      </c>
      <c r="Q168" s="31">
        <f>710.1</f>
        <v>710.1</v>
      </c>
      <c r="R168" s="32" t="s">
        <v>934</v>
      </c>
      <c r="S168" s="33">
        <f>759.47</f>
        <v>759.47</v>
      </c>
      <c r="T168" s="30">
        <f>50290</f>
        <v>50290</v>
      </c>
      <c r="U168" s="30" t="str">
        <f t="shared" si="4"/>
        <v>－</v>
      </c>
      <c r="V168" s="30">
        <f>37712651</f>
        <v>37712651</v>
      </c>
      <c r="W168" s="30" t="str">
        <f t="shared" si="5"/>
        <v>－</v>
      </c>
      <c r="X168" s="34">
        <f>20</f>
        <v>20</v>
      </c>
    </row>
    <row r="169" spans="1:24" x14ac:dyDescent="0.15">
      <c r="A169" s="25" t="s">
        <v>1014</v>
      </c>
      <c r="B169" s="25" t="s">
        <v>544</v>
      </c>
      <c r="C169" s="25" t="s">
        <v>545</v>
      </c>
      <c r="D169" s="25" t="s">
        <v>546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2091</f>
        <v>2091</v>
      </c>
      <c r="L169" s="32" t="s">
        <v>904</v>
      </c>
      <c r="M169" s="31">
        <f>2176.5</f>
        <v>2176.5</v>
      </c>
      <c r="N169" s="32" t="s">
        <v>695</v>
      </c>
      <c r="O169" s="31">
        <f>1957.5</f>
        <v>1957.5</v>
      </c>
      <c r="P169" s="32" t="s">
        <v>94</v>
      </c>
      <c r="Q169" s="31">
        <f>2047</f>
        <v>2047</v>
      </c>
      <c r="R169" s="32" t="s">
        <v>934</v>
      </c>
      <c r="S169" s="33">
        <f>2077.13</f>
        <v>2077.13</v>
      </c>
      <c r="T169" s="30">
        <f>4730</f>
        <v>4730</v>
      </c>
      <c r="U169" s="30" t="str">
        <f t="shared" si="4"/>
        <v>－</v>
      </c>
      <c r="V169" s="30">
        <f>9765235</f>
        <v>9765235</v>
      </c>
      <c r="W169" s="30" t="str">
        <f t="shared" si="5"/>
        <v>－</v>
      </c>
      <c r="X169" s="34">
        <f>20</f>
        <v>20</v>
      </c>
    </row>
    <row r="170" spans="1:24" x14ac:dyDescent="0.15">
      <c r="A170" s="25" t="s">
        <v>1014</v>
      </c>
      <c r="B170" s="25" t="s">
        <v>547</v>
      </c>
      <c r="C170" s="25" t="s">
        <v>548</v>
      </c>
      <c r="D170" s="25" t="s">
        <v>549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932.8</f>
        <v>932.8</v>
      </c>
      <c r="L170" s="32" t="s">
        <v>904</v>
      </c>
      <c r="M170" s="31">
        <f>986.9</f>
        <v>986.9</v>
      </c>
      <c r="N170" s="32" t="s">
        <v>908</v>
      </c>
      <c r="O170" s="31">
        <f>912.5</f>
        <v>912.5</v>
      </c>
      <c r="P170" s="32" t="s">
        <v>909</v>
      </c>
      <c r="Q170" s="31">
        <f>952.4</f>
        <v>952.4</v>
      </c>
      <c r="R170" s="32" t="s">
        <v>934</v>
      </c>
      <c r="S170" s="33">
        <f>949.72</f>
        <v>949.72</v>
      </c>
      <c r="T170" s="30">
        <f>110910</f>
        <v>110910</v>
      </c>
      <c r="U170" s="30" t="str">
        <f t="shared" si="4"/>
        <v>－</v>
      </c>
      <c r="V170" s="30">
        <f>105713637</f>
        <v>105713637</v>
      </c>
      <c r="W170" s="30" t="str">
        <f t="shared" si="5"/>
        <v>－</v>
      </c>
      <c r="X170" s="34">
        <f>20</f>
        <v>20</v>
      </c>
    </row>
    <row r="171" spans="1:24" x14ac:dyDescent="0.15">
      <c r="A171" s="25" t="s">
        <v>1014</v>
      </c>
      <c r="B171" s="25" t="s">
        <v>550</v>
      </c>
      <c r="C171" s="25" t="s">
        <v>551</v>
      </c>
      <c r="D171" s="25" t="s">
        <v>552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677.5</f>
        <v>677.5</v>
      </c>
      <c r="L171" s="32" t="s">
        <v>904</v>
      </c>
      <c r="M171" s="31">
        <f>735.5</f>
        <v>735.5</v>
      </c>
      <c r="N171" s="32" t="s">
        <v>908</v>
      </c>
      <c r="O171" s="31">
        <f>662.1</f>
        <v>662.1</v>
      </c>
      <c r="P171" s="32" t="s">
        <v>909</v>
      </c>
      <c r="Q171" s="31">
        <f>713.1</f>
        <v>713.1</v>
      </c>
      <c r="R171" s="32" t="s">
        <v>934</v>
      </c>
      <c r="S171" s="33">
        <f>699.99</f>
        <v>699.99</v>
      </c>
      <c r="T171" s="30">
        <f>474240</f>
        <v>474240</v>
      </c>
      <c r="U171" s="30" t="str">
        <f t="shared" si="4"/>
        <v>－</v>
      </c>
      <c r="V171" s="30">
        <f>333872059</f>
        <v>333872059</v>
      </c>
      <c r="W171" s="30" t="str">
        <f t="shared" si="5"/>
        <v>－</v>
      </c>
      <c r="X171" s="34">
        <f>20</f>
        <v>20</v>
      </c>
    </row>
    <row r="172" spans="1:24" x14ac:dyDescent="0.15">
      <c r="A172" s="25" t="s">
        <v>1014</v>
      </c>
      <c r="B172" s="25" t="s">
        <v>553</v>
      </c>
      <c r="C172" s="25" t="s">
        <v>554</v>
      </c>
      <c r="D172" s="25" t="s">
        <v>555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100</v>
      </c>
      <c r="K172" s="31">
        <f>5.3</f>
        <v>5.3</v>
      </c>
      <c r="L172" s="32" t="s">
        <v>904</v>
      </c>
      <c r="M172" s="31">
        <f>5.4</f>
        <v>5.4</v>
      </c>
      <c r="N172" s="32" t="s">
        <v>904</v>
      </c>
      <c r="O172" s="31">
        <f>4</f>
        <v>4</v>
      </c>
      <c r="P172" s="32" t="s">
        <v>94</v>
      </c>
      <c r="Q172" s="31">
        <f>4.1</f>
        <v>4.0999999999999996</v>
      </c>
      <c r="R172" s="32" t="s">
        <v>934</v>
      </c>
      <c r="S172" s="33">
        <f>4.73</f>
        <v>4.7300000000000004</v>
      </c>
      <c r="T172" s="30">
        <f>462631000</f>
        <v>462631000</v>
      </c>
      <c r="U172" s="30">
        <f>450000</f>
        <v>450000</v>
      </c>
      <c r="V172" s="30">
        <f>2191590080</f>
        <v>2191590080</v>
      </c>
      <c r="W172" s="30">
        <f>2250000</f>
        <v>2250000</v>
      </c>
      <c r="X172" s="34">
        <f>20</f>
        <v>20</v>
      </c>
    </row>
    <row r="173" spans="1:24" x14ac:dyDescent="0.15">
      <c r="A173" s="25" t="s">
        <v>1014</v>
      </c>
      <c r="B173" s="25" t="s">
        <v>556</v>
      </c>
      <c r="C173" s="25" t="s">
        <v>557</v>
      </c>
      <c r="D173" s="25" t="s">
        <v>558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1357.5</f>
        <v>1357.5</v>
      </c>
      <c r="L173" s="32" t="s">
        <v>904</v>
      </c>
      <c r="M173" s="31">
        <f>1385</f>
        <v>1385</v>
      </c>
      <c r="N173" s="32" t="s">
        <v>915</v>
      </c>
      <c r="O173" s="31">
        <f>1208</f>
        <v>1208</v>
      </c>
      <c r="P173" s="32" t="s">
        <v>266</v>
      </c>
      <c r="Q173" s="31">
        <f>1275.5</f>
        <v>1275.5</v>
      </c>
      <c r="R173" s="32" t="s">
        <v>934</v>
      </c>
      <c r="S173" s="33">
        <f>1317.35</f>
        <v>1317.35</v>
      </c>
      <c r="T173" s="30">
        <f>147400</f>
        <v>147400</v>
      </c>
      <c r="U173" s="30" t="str">
        <f t="shared" ref="U173:U180" si="6">"－"</f>
        <v>－</v>
      </c>
      <c r="V173" s="30">
        <f>194659475</f>
        <v>194659475</v>
      </c>
      <c r="W173" s="30" t="str">
        <f t="shared" ref="W173:W180" si="7">"－"</f>
        <v>－</v>
      </c>
      <c r="X173" s="34">
        <f>20</f>
        <v>20</v>
      </c>
    </row>
    <row r="174" spans="1:24" x14ac:dyDescent="0.15">
      <c r="A174" s="25" t="s">
        <v>1014</v>
      </c>
      <c r="B174" s="25" t="s">
        <v>559</v>
      </c>
      <c r="C174" s="25" t="s">
        <v>560</v>
      </c>
      <c r="D174" s="25" t="s">
        <v>561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</v>
      </c>
      <c r="K174" s="31">
        <f>5920</f>
        <v>5920</v>
      </c>
      <c r="L174" s="32" t="s">
        <v>904</v>
      </c>
      <c r="M174" s="31">
        <f>6248</f>
        <v>6248</v>
      </c>
      <c r="N174" s="32" t="s">
        <v>915</v>
      </c>
      <c r="O174" s="31">
        <f>5607</f>
        <v>5607</v>
      </c>
      <c r="P174" s="32" t="s">
        <v>912</v>
      </c>
      <c r="Q174" s="31">
        <f>5990</f>
        <v>5990</v>
      </c>
      <c r="R174" s="32" t="s">
        <v>934</v>
      </c>
      <c r="S174" s="33">
        <f>5941.15</f>
        <v>5941.15</v>
      </c>
      <c r="T174" s="30">
        <f>3078</f>
        <v>3078</v>
      </c>
      <c r="U174" s="30" t="str">
        <f t="shared" si="6"/>
        <v>－</v>
      </c>
      <c r="V174" s="30">
        <f>18413328</f>
        <v>18413328</v>
      </c>
      <c r="W174" s="30" t="str">
        <f t="shared" si="7"/>
        <v>－</v>
      </c>
      <c r="X174" s="34">
        <f>20</f>
        <v>20</v>
      </c>
    </row>
    <row r="175" spans="1:24" x14ac:dyDescent="0.15">
      <c r="A175" s="25" t="s">
        <v>1014</v>
      </c>
      <c r="B175" s="25" t="s">
        <v>562</v>
      </c>
      <c r="C175" s="25" t="s">
        <v>563</v>
      </c>
      <c r="D175" s="25" t="s">
        <v>564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458.1</f>
        <v>458.1</v>
      </c>
      <c r="L175" s="32" t="s">
        <v>904</v>
      </c>
      <c r="M175" s="31">
        <f>463.7</f>
        <v>463.7</v>
      </c>
      <c r="N175" s="32" t="s">
        <v>911</v>
      </c>
      <c r="O175" s="31">
        <f>415.7</f>
        <v>415.7</v>
      </c>
      <c r="P175" s="32" t="s">
        <v>94</v>
      </c>
      <c r="Q175" s="31">
        <f>445.1</f>
        <v>445.1</v>
      </c>
      <c r="R175" s="32" t="s">
        <v>934</v>
      </c>
      <c r="S175" s="33">
        <f>445.93</f>
        <v>445.93</v>
      </c>
      <c r="T175" s="30">
        <f>160000</f>
        <v>160000</v>
      </c>
      <c r="U175" s="30" t="str">
        <f t="shared" si="6"/>
        <v>－</v>
      </c>
      <c r="V175" s="30">
        <f>70568110</f>
        <v>70568110</v>
      </c>
      <c r="W175" s="30" t="str">
        <f t="shared" si="7"/>
        <v>－</v>
      </c>
      <c r="X175" s="34">
        <f>20</f>
        <v>20</v>
      </c>
    </row>
    <row r="176" spans="1:24" x14ac:dyDescent="0.15">
      <c r="A176" s="25" t="s">
        <v>1014</v>
      </c>
      <c r="B176" s="25" t="s">
        <v>565</v>
      </c>
      <c r="C176" s="25" t="s">
        <v>566</v>
      </c>
      <c r="D176" s="25" t="s">
        <v>567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4291</f>
        <v>4291</v>
      </c>
      <c r="L176" s="32" t="s">
        <v>904</v>
      </c>
      <c r="M176" s="31">
        <f>4533</f>
        <v>4533</v>
      </c>
      <c r="N176" s="32" t="s">
        <v>56</v>
      </c>
      <c r="O176" s="31">
        <f>4100</f>
        <v>4100</v>
      </c>
      <c r="P176" s="32" t="s">
        <v>94</v>
      </c>
      <c r="Q176" s="31">
        <f>4332</f>
        <v>4332</v>
      </c>
      <c r="R176" s="32" t="s">
        <v>934</v>
      </c>
      <c r="S176" s="33">
        <f>4326.7</f>
        <v>4326.7</v>
      </c>
      <c r="T176" s="30">
        <f>46600</f>
        <v>46600</v>
      </c>
      <c r="U176" s="30" t="str">
        <f t="shared" si="6"/>
        <v>－</v>
      </c>
      <c r="V176" s="30">
        <f>202236730</f>
        <v>202236730</v>
      </c>
      <c r="W176" s="30" t="str">
        <f t="shared" si="7"/>
        <v>－</v>
      </c>
      <c r="X176" s="34">
        <f>20</f>
        <v>20</v>
      </c>
    </row>
    <row r="177" spans="1:24" x14ac:dyDescent="0.15">
      <c r="A177" s="25" t="s">
        <v>1014</v>
      </c>
      <c r="B177" s="25" t="s">
        <v>568</v>
      </c>
      <c r="C177" s="25" t="s">
        <v>569</v>
      </c>
      <c r="D177" s="25" t="s">
        <v>570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2814</f>
        <v>2814</v>
      </c>
      <c r="L177" s="32" t="s">
        <v>904</v>
      </c>
      <c r="M177" s="31">
        <f>3360</f>
        <v>3360</v>
      </c>
      <c r="N177" s="32" t="s">
        <v>908</v>
      </c>
      <c r="O177" s="31">
        <f>2658.5</f>
        <v>2658.5</v>
      </c>
      <c r="P177" s="32" t="s">
        <v>810</v>
      </c>
      <c r="Q177" s="31">
        <f>2987</f>
        <v>2987</v>
      </c>
      <c r="R177" s="32" t="s">
        <v>934</v>
      </c>
      <c r="S177" s="33">
        <f>2998.98</f>
        <v>2998.98</v>
      </c>
      <c r="T177" s="30">
        <f>32060</f>
        <v>32060</v>
      </c>
      <c r="U177" s="30" t="str">
        <f t="shared" si="6"/>
        <v>－</v>
      </c>
      <c r="V177" s="30">
        <f>97510140</f>
        <v>97510140</v>
      </c>
      <c r="W177" s="30" t="str">
        <f t="shared" si="7"/>
        <v>－</v>
      </c>
      <c r="X177" s="34">
        <f>20</f>
        <v>20</v>
      </c>
    </row>
    <row r="178" spans="1:24" x14ac:dyDescent="0.15">
      <c r="A178" s="25" t="s">
        <v>1014</v>
      </c>
      <c r="B178" s="25" t="s">
        <v>571</v>
      </c>
      <c r="C178" s="25" t="s">
        <v>572</v>
      </c>
      <c r="D178" s="25" t="s">
        <v>573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116.4</f>
        <v>116.4</v>
      </c>
      <c r="L178" s="32" t="s">
        <v>904</v>
      </c>
      <c r="M178" s="31">
        <f>132.3</f>
        <v>132.30000000000001</v>
      </c>
      <c r="N178" s="32" t="s">
        <v>908</v>
      </c>
      <c r="O178" s="31">
        <f>112.1</f>
        <v>112.1</v>
      </c>
      <c r="P178" s="32" t="s">
        <v>909</v>
      </c>
      <c r="Q178" s="31">
        <f>130</f>
        <v>130</v>
      </c>
      <c r="R178" s="32" t="s">
        <v>934</v>
      </c>
      <c r="S178" s="33">
        <f>122.92</f>
        <v>122.92</v>
      </c>
      <c r="T178" s="30">
        <f>19925200</f>
        <v>19925200</v>
      </c>
      <c r="U178" s="30" t="str">
        <f t="shared" si="6"/>
        <v>－</v>
      </c>
      <c r="V178" s="30">
        <f>2457074190</f>
        <v>2457074190</v>
      </c>
      <c r="W178" s="30" t="str">
        <f t="shared" si="7"/>
        <v>－</v>
      </c>
      <c r="X178" s="34">
        <f>20</f>
        <v>20</v>
      </c>
    </row>
    <row r="179" spans="1:24" x14ac:dyDescent="0.15">
      <c r="A179" s="25" t="s">
        <v>1014</v>
      </c>
      <c r="B179" s="25" t="s">
        <v>574</v>
      </c>
      <c r="C179" s="25" t="s">
        <v>575</v>
      </c>
      <c r="D179" s="25" t="s">
        <v>576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186.4</f>
        <v>186.4</v>
      </c>
      <c r="L179" s="32" t="s">
        <v>904</v>
      </c>
      <c r="M179" s="31">
        <f>199</f>
        <v>199</v>
      </c>
      <c r="N179" s="32" t="s">
        <v>695</v>
      </c>
      <c r="O179" s="31">
        <f>182.4</f>
        <v>182.4</v>
      </c>
      <c r="P179" s="32" t="s">
        <v>909</v>
      </c>
      <c r="Q179" s="31">
        <f>192.5</f>
        <v>192.5</v>
      </c>
      <c r="R179" s="32" t="s">
        <v>934</v>
      </c>
      <c r="S179" s="33">
        <f>191.99</f>
        <v>191.99</v>
      </c>
      <c r="T179" s="30">
        <f>1631300</f>
        <v>1631300</v>
      </c>
      <c r="U179" s="30" t="str">
        <f t="shared" si="6"/>
        <v>－</v>
      </c>
      <c r="V179" s="30">
        <f>313657690</f>
        <v>313657690</v>
      </c>
      <c r="W179" s="30" t="str">
        <f t="shared" si="7"/>
        <v>－</v>
      </c>
      <c r="X179" s="34">
        <f>20</f>
        <v>20</v>
      </c>
    </row>
    <row r="180" spans="1:24" x14ac:dyDescent="0.15">
      <c r="A180" s="25" t="s">
        <v>1014</v>
      </c>
      <c r="B180" s="25" t="s">
        <v>577</v>
      </c>
      <c r="C180" s="25" t="s">
        <v>578</v>
      </c>
      <c r="D180" s="25" t="s">
        <v>579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4038</f>
        <v>4038</v>
      </c>
      <c r="L180" s="32" t="s">
        <v>904</v>
      </c>
      <c r="M180" s="31">
        <f>4356</f>
        <v>4356</v>
      </c>
      <c r="N180" s="32" t="s">
        <v>695</v>
      </c>
      <c r="O180" s="31">
        <f>3965</f>
        <v>3965</v>
      </c>
      <c r="P180" s="32" t="s">
        <v>909</v>
      </c>
      <c r="Q180" s="31">
        <f>4180</f>
        <v>4180</v>
      </c>
      <c r="R180" s="32" t="s">
        <v>934</v>
      </c>
      <c r="S180" s="33">
        <f>4171.25</f>
        <v>4171.25</v>
      </c>
      <c r="T180" s="30">
        <f>20890</f>
        <v>20890</v>
      </c>
      <c r="U180" s="30" t="str">
        <f t="shared" si="6"/>
        <v>－</v>
      </c>
      <c r="V180" s="30">
        <f>88186160</f>
        <v>88186160</v>
      </c>
      <c r="W180" s="30" t="str">
        <f t="shared" si="7"/>
        <v>－</v>
      </c>
      <c r="X180" s="34">
        <f>20</f>
        <v>20</v>
      </c>
    </row>
    <row r="181" spans="1:24" x14ac:dyDescent="0.15">
      <c r="A181" s="25" t="s">
        <v>1014</v>
      </c>
      <c r="B181" s="25" t="s">
        <v>580</v>
      </c>
      <c r="C181" s="25" t="s">
        <v>581</v>
      </c>
      <c r="D181" s="25" t="s">
        <v>582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2029</f>
        <v>2029</v>
      </c>
      <c r="L181" s="32" t="s">
        <v>904</v>
      </c>
      <c r="M181" s="31">
        <f>2054</f>
        <v>2054</v>
      </c>
      <c r="N181" s="32" t="s">
        <v>813</v>
      </c>
      <c r="O181" s="31">
        <f>1909.5</f>
        <v>1909.5</v>
      </c>
      <c r="P181" s="32" t="s">
        <v>94</v>
      </c>
      <c r="Q181" s="31">
        <f>1922</f>
        <v>1922</v>
      </c>
      <c r="R181" s="32" t="s">
        <v>934</v>
      </c>
      <c r="S181" s="33">
        <f>2003.3</f>
        <v>2003.3</v>
      </c>
      <c r="T181" s="30">
        <f>425680</f>
        <v>425680</v>
      </c>
      <c r="U181" s="30">
        <f>347520</f>
        <v>347520</v>
      </c>
      <c r="V181" s="30">
        <f>856853857</f>
        <v>856853857</v>
      </c>
      <c r="W181" s="30">
        <f>700886692</f>
        <v>700886692</v>
      </c>
      <c r="X181" s="34">
        <f>20</f>
        <v>20</v>
      </c>
    </row>
    <row r="182" spans="1:24" x14ac:dyDescent="0.15">
      <c r="A182" s="25" t="s">
        <v>1014</v>
      </c>
      <c r="B182" s="25" t="s">
        <v>583</v>
      </c>
      <c r="C182" s="25" t="s">
        <v>584</v>
      </c>
      <c r="D182" s="25" t="s">
        <v>585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368.2</f>
        <v>368.2</v>
      </c>
      <c r="L182" s="32" t="s">
        <v>904</v>
      </c>
      <c r="M182" s="31">
        <f>377.5</f>
        <v>377.5</v>
      </c>
      <c r="N182" s="32" t="s">
        <v>915</v>
      </c>
      <c r="O182" s="31">
        <f>330</f>
        <v>330</v>
      </c>
      <c r="P182" s="32" t="s">
        <v>266</v>
      </c>
      <c r="Q182" s="31">
        <f>347.3</f>
        <v>347.3</v>
      </c>
      <c r="R182" s="32" t="s">
        <v>934</v>
      </c>
      <c r="S182" s="33">
        <f>359.05</f>
        <v>359.05</v>
      </c>
      <c r="T182" s="30">
        <f>39292860</f>
        <v>39292860</v>
      </c>
      <c r="U182" s="30">
        <f>20220</f>
        <v>20220</v>
      </c>
      <c r="V182" s="30">
        <f>14084445758</f>
        <v>14084445758</v>
      </c>
      <c r="W182" s="30">
        <f>7301189</f>
        <v>7301189</v>
      </c>
      <c r="X182" s="34">
        <f>20</f>
        <v>20</v>
      </c>
    </row>
    <row r="183" spans="1:24" x14ac:dyDescent="0.15">
      <c r="A183" s="25" t="s">
        <v>1014</v>
      </c>
      <c r="B183" s="25" t="s">
        <v>586</v>
      </c>
      <c r="C183" s="25" t="s">
        <v>587</v>
      </c>
      <c r="D183" s="25" t="s">
        <v>588</v>
      </c>
      <c r="E183" s="26" t="s">
        <v>45</v>
      </c>
      <c r="F183" s="27" t="s">
        <v>45</v>
      </c>
      <c r="G183" s="28" t="s">
        <v>45</v>
      </c>
      <c r="H183" s="29"/>
      <c r="I183" s="29" t="s">
        <v>589</v>
      </c>
      <c r="J183" s="30">
        <v>1</v>
      </c>
      <c r="K183" s="31">
        <f>6450</f>
        <v>6450</v>
      </c>
      <c r="L183" s="32" t="s">
        <v>904</v>
      </c>
      <c r="M183" s="31">
        <f>6477</f>
        <v>6477</v>
      </c>
      <c r="N183" s="32" t="s">
        <v>813</v>
      </c>
      <c r="O183" s="31">
        <f>4960</f>
        <v>4960</v>
      </c>
      <c r="P183" s="32" t="s">
        <v>934</v>
      </c>
      <c r="Q183" s="31">
        <f>5035</f>
        <v>5035</v>
      </c>
      <c r="R183" s="32" t="s">
        <v>934</v>
      </c>
      <c r="S183" s="33">
        <f>5888.35</f>
        <v>5888.35</v>
      </c>
      <c r="T183" s="30">
        <f>60850</f>
        <v>60850</v>
      </c>
      <c r="U183" s="30" t="str">
        <f>"－"</f>
        <v>－</v>
      </c>
      <c r="V183" s="30">
        <f>351748679</f>
        <v>351748679</v>
      </c>
      <c r="W183" s="30" t="str">
        <f>"－"</f>
        <v>－</v>
      </c>
      <c r="X183" s="34">
        <f>20</f>
        <v>20</v>
      </c>
    </row>
    <row r="184" spans="1:24" x14ac:dyDescent="0.15">
      <c r="A184" s="25" t="s">
        <v>1014</v>
      </c>
      <c r="B184" s="25" t="s">
        <v>590</v>
      </c>
      <c r="C184" s="25" t="s">
        <v>591</v>
      </c>
      <c r="D184" s="25" t="s">
        <v>592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8350</f>
        <v>8350</v>
      </c>
      <c r="L184" s="32" t="s">
        <v>904</v>
      </c>
      <c r="M184" s="31">
        <f>10060</f>
        <v>10060</v>
      </c>
      <c r="N184" s="32" t="s">
        <v>934</v>
      </c>
      <c r="O184" s="31">
        <f>8272</f>
        <v>8272</v>
      </c>
      <c r="P184" s="32" t="s">
        <v>904</v>
      </c>
      <c r="Q184" s="31">
        <f>9883</f>
        <v>9883</v>
      </c>
      <c r="R184" s="32" t="s">
        <v>934</v>
      </c>
      <c r="S184" s="33">
        <f>9052.4</f>
        <v>9052.4</v>
      </c>
      <c r="T184" s="30">
        <f>4768</f>
        <v>4768</v>
      </c>
      <c r="U184" s="30" t="str">
        <f>"－"</f>
        <v>－</v>
      </c>
      <c r="V184" s="30">
        <f>44474094</f>
        <v>44474094</v>
      </c>
      <c r="W184" s="30" t="str">
        <f>"－"</f>
        <v>－</v>
      </c>
      <c r="X184" s="34">
        <f>20</f>
        <v>20</v>
      </c>
    </row>
    <row r="185" spans="1:24" x14ac:dyDescent="0.15">
      <c r="A185" s="25" t="s">
        <v>1014</v>
      </c>
      <c r="B185" s="25" t="s">
        <v>593</v>
      </c>
      <c r="C185" s="25" t="s">
        <v>594</v>
      </c>
      <c r="D185" s="25" t="s">
        <v>595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11050</f>
        <v>11050</v>
      </c>
      <c r="L185" s="32" t="s">
        <v>904</v>
      </c>
      <c r="M185" s="31">
        <f>11100</f>
        <v>11100</v>
      </c>
      <c r="N185" s="32" t="s">
        <v>904</v>
      </c>
      <c r="O185" s="31">
        <f>8300</f>
        <v>8300</v>
      </c>
      <c r="P185" s="32" t="s">
        <v>934</v>
      </c>
      <c r="Q185" s="31">
        <f>8542</f>
        <v>8542</v>
      </c>
      <c r="R185" s="32" t="s">
        <v>934</v>
      </c>
      <c r="S185" s="33">
        <f>10012.25</f>
        <v>10012.25</v>
      </c>
      <c r="T185" s="30">
        <f>1151</f>
        <v>1151</v>
      </c>
      <c r="U185" s="30" t="str">
        <f>"－"</f>
        <v>－</v>
      </c>
      <c r="V185" s="30">
        <f>11409970</f>
        <v>11409970</v>
      </c>
      <c r="W185" s="30" t="str">
        <f>"－"</f>
        <v>－</v>
      </c>
      <c r="X185" s="34">
        <f>20</f>
        <v>20</v>
      </c>
    </row>
    <row r="186" spans="1:24" x14ac:dyDescent="0.15">
      <c r="A186" s="25" t="s">
        <v>1014</v>
      </c>
      <c r="B186" s="25" t="s">
        <v>596</v>
      </c>
      <c r="C186" s="25" t="s">
        <v>597</v>
      </c>
      <c r="D186" s="25" t="s">
        <v>598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8025</f>
        <v>8025</v>
      </c>
      <c r="L186" s="32" t="s">
        <v>904</v>
      </c>
      <c r="M186" s="31">
        <f>8890</f>
        <v>8890</v>
      </c>
      <c r="N186" s="32" t="s">
        <v>934</v>
      </c>
      <c r="O186" s="31">
        <f>7975</f>
        <v>7975</v>
      </c>
      <c r="P186" s="32" t="s">
        <v>904</v>
      </c>
      <c r="Q186" s="31">
        <f>8890</f>
        <v>8890</v>
      </c>
      <c r="R186" s="32" t="s">
        <v>934</v>
      </c>
      <c r="S186" s="33">
        <f>8354.9</f>
        <v>8354.9</v>
      </c>
      <c r="T186" s="30">
        <f>25133</f>
        <v>25133</v>
      </c>
      <c r="U186" s="30" t="str">
        <f>"－"</f>
        <v>－</v>
      </c>
      <c r="V186" s="30">
        <f>211768881</f>
        <v>211768881</v>
      </c>
      <c r="W186" s="30" t="str">
        <f>"－"</f>
        <v>－</v>
      </c>
      <c r="X186" s="34">
        <f>20</f>
        <v>20</v>
      </c>
    </row>
    <row r="187" spans="1:24" x14ac:dyDescent="0.15">
      <c r="A187" s="25" t="s">
        <v>1014</v>
      </c>
      <c r="B187" s="25" t="s">
        <v>602</v>
      </c>
      <c r="C187" s="25" t="s">
        <v>603</v>
      </c>
      <c r="D187" s="25" t="s">
        <v>604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24610</f>
        <v>24610</v>
      </c>
      <c r="L187" s="32" t="s">
        <v>904</v>
      </c>
      <c r="M187" s="31">
        <f>26700</f>
        <v>26700</v>
      </c>
      <c r="N187" s="32" t="s">
        <v>912</v>
      </c>
      <c r="O187" s="31">
        <f>23980</f>
        <v>23980</v>
      </c>
      <c r="P187" s="32" t="s">
        <v>94</v>
      </c>
      <c r="Q187" s="31">
        <f>25240</f>
        <v>25240</v>
      </c>
      <c r="R187" s="32" t="s">
        <v>934</v>
      </c>
      <c r="S187" s="33">
        <f>25237</f>
        <v>25237</v>
      </c>
      <c r="T187" s="30">
        <f>31683</f>
        <v>31683</v>
      </c>
      <c r="U187" s="30">
        <f>3</f>
        <v>3</v>
      </c>
      <c r="V187" s="30">
        <f>805576340</f>
        <v>805576340</v>
      </c>
      <c r="W187" s="30">
        <f>77190</f>
        <v>77190</v>
      </c>
      <c r="X187" s="34">
        <f>20</f>
        <v>20</v>
      </c>
    </row>
    <row r="188" spans="1:24" x14ac:dyDescent="0.15">
      <c r="A188" s="25" t="s">
        <v>1014</v>
      </c>
      <c r="B188" s="25" t="s">
        <v>605</v>
      </c>
      <c r="C188" s="25" t="s">
        <v>606</v>
      </c>
      <c r="D188" s="25" t="s">
        <v>607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4470</f>
        <v>4470</v>
      </c>
      <c r="L188" s="32" t="s">
        <v>904</v>
      </c>
      <c r="M188" s="31">
        <f>4555</f>
        <v>4555</v>
      </c>
      <c r="N188" s="32" t="s">
        <v>266</v>
      </c>
      <c r="O188" s="31">
        <f>4325</f>
        <v>4325</v>
      </c>
      <c r="P188" s="32" t="s">
        <v>912</v>
      </c>
      <c r="Q188" s="31">
        <f>4425</f>
        <v>4425</v>
      </c>
      <c r="R188" s="32" t="s">
        <v>934</v>
      </c>
      <c r="S188" s="33">
        <f>4445.25</f>
        <v>4445.25</v>
      </c>
      <c r="T188" s="30">
        <f>12558</f>
        <v>12558</v>
      </c>
      <c r="U188" s="30" t="str">
        <f>"－"</f>
        <v>－</v>
      </c>
      <c r="V188" s="30">
        <f>55920775</f>
        <v>55920775</v>
      </c>
      <c r="W188" s="30" t="str">
        <f>"－"</f>
        <v>－</v>
      </c>
      <c r="X188" s="34">
        <f>20</f>
        <v>20</v>
      </c>
    </row>
    <row r="189" spans="1:24" x14ac:dyDescent="0.15">
      <c r="A189" s="25" t="s">
        <v>1014</v>
      </c>
      <c r="B189" s="25" t="s">
        <v>608</v>
      </c>
      <c r="C189" s="25" t="s">
        <v>609</v>
      </c>
      <c r="D189" s="25" t="s">
        <v>610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1593</f>
        <v>1593</v>
      </c>
      <c r="L189" s="32" t="s">
        <v>904</v>
      </c>
      <c r="M189" s="31">
        <f>1638</f>
        <v>1638</v>
      </c>
      <c r="N189" s="32" t="s">
        <v>80</v>
      </c>
      <c r="O189" s="31">
        <f>1310</f>
        <v>1310</v>
      </c>
      <c r="P189" s="32" t="s">
        <v>94</v>
      </c>
      <c r="Q189" s="31">
        <f>1419</f>
        <v>1419</v>
      </c>
      <c r="R189" s="32" t="s">
        <v>934</v>
      </c>
      <c r="S189" s="33">
        <f>1515.4</f>
        <v>1515.4</v>
      </c>
      <c r="T189" s="30">
        <f>40233429</f>
        <v>40233429</v>
      </c>
      <c r="U189" s="30">
        <f>18</f>
        <v>18</v>
      </c>
      <c r="V189" s="30">
        <f>60827924783</f>
        <v>60827924783</v>
      </c>
      <c r="W189" s="30">
        <f>25473</f>
        <v>25473</v>
      </c>
      <c r="X189" s="34">
        <f>20</f>
        <v>20</v>
      </c>
    </row>
    <row r="190" spans="1:24" x14ac:dyDescent="0.15">
      <c r="A190" s="25" t="s">
        <v>1014</v>
      </c>
      <c r="B190" s="25" t="s">
        <v>611</v>
      </c>
      <c r="C190" s="25" t="s">
        <v>612</v>
      </c>
      <c r="D190" s="25" t="s">
        <v>613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1415</f>
        <v>1415</v>
      </c>
      <c r="L190" s="32" t="s">
        <v>904</v>
      </c>
      <c r="M190" s="31">
        <f>1545</f>
        <v>1545</v>
      </c>
      <c r="N190" s="32" t="s">
        <v>94</v>
      </c>
      <c r="O190" s="31">
        <f>1397</f>
        <v>1397</v>
      </c>
      <c r="P190" s="32" t="s">
        <v>56</v>
      </c>
      <c r="Q190" s="31">
        <f>1479</f>
        <v>1479</v>
      </c>
      <c r="R190" s="32" t="s">
        <v>934</v>
      </c>
      <c r="S190" s="33">
        <f>1447.25</f>
        <v>1447.25</v>
      </c>
      <c r="T190" s="30">
        <f>2710291</f>
        <v>2710291</v>
      </c>
      <c r="U190" s="30">
        <f>2379</f>
        <v>2379</v>
      </c>
      <c r="V190" s="30">
        <f>3949609119</f>
        <v>3949609119</v>
      </c>
      <c r="W190" s="30">
        <f>3403338</f>
        <v>3403338</v>
      </c>
      <c r="X190" s="34">
        <f>20</f>
        <v>20</v>
      </c>
    </row>
    <row r="191" spans="1:24" x14ac:dyDescent="0.15">
      <c r="A191" s="25" t="s">
        <v>1014</v>
      </c>
      <c r="B191" s="25" t="s">
        <v>614</v>
      </c>
      <c r="C191" s="25" t="s">
        <v>615</v>
      </c>
      <c r="D191" s="25" t="s">
        <v>616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23885</f>
        <v>23885</v>
      </c>
      <c r="L191" s="32" t="s">
        <v>904</v>
      </c>
      <c r="M191" s="31">
        <f>24995</f>
        <v>24995</v>
      </c>
      <c r="N191" s="32" t="s">
        <v>56</v>
      </c>
      <c r="O191" s="31">
        <f>19805</f>
        <v>19805</v>
      </c>
      <c r="P191" s="32" t="s">
        <v>94</v>
      </c>
      <c r="Q191" s="31">
        <f>20240</f>
        <v>20240</v>
      </c>
      <c r="R191" s="32" t="s">
        <v>934</v>
      </c>
      <c r="S191" s="33">
        <f>22784.25</f>
        <v>22784.25</v>
      </c>
      <c r="T191" s="30">
        <f>232608</f>
        <v>232608</v>
      </c>
      <c r="U191" s="30">
        <f>2002</f>
        <v>2002</v>
      </c>
      <c r="V191" s="30">
        <f>5225533715</f>
        <v>5225533715</v>
      </c>
      <c r="W191" s="30">
        <f>41932630</f>
        <v>41932630</v>
      </c>
      <c r="X191" s="34">
        <f>20</f>
        <v>20</v>
      </c>
    </row>
    <row r="192" spans="1:24" x14ac:dyDescent="0.15">
      <c r="A192" s="25" t="s">
        <v>1014</v>
      </c>
      <c r="B192" s="25" t="s">
        <v>617</v>
      </c>
      <c r="C192" s="25" t="s">
        <v>618</v>
      </c>
      <c r="D192" s="25" t="s">
        <v>619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3120</f>
        <v>3120</v>
      </c>
      <c r="L192" s="32" t="s">
        <v>904</v>
      </c>
      <c r="M192" s="31">
        <f>3400</f>
        <v>3400</v>
      </c>
      <c r="N192" s="32" t="s">
        <v>94</v>
      </c>
      <c r="O192" s="31">
        <f>3010</f>
        <v>3010</v>
      </c>
      <c r="P192" s="32" t="s">
        <v>813</v>
      </c>
      <c r="Q192" s="31">
        <f>3330</f>
        <v>3330</v>
      </c>
      <c r="R192" s="32" t="s">
        <v>934</v>
      </c>
      <c r="S192" s="33">
        <f>3193</f>
        <v>3193</v>
      </c>
      <c r="T192" s="30">
        <f>1024728</f>
        <v>1024728</v>
      </c>
      <c r="U192" s="30">
        <f>10000</f>
        <v>10000</v>
      </c>
      <c r="V192" s="30">
        <f>3301527765</f>
        <v>3301527765</v>
      </c>
      <c r="W192" s="30">
        <f>31382100</f>
        <v>31382100</v>
      </c>
      <c r="X192" s="34">
        <f>20</f>
        <v>20</v>
      </c>
    </row>
    <row r="193" spans="1:24" x14ac:dyDescent="0.15">
      <c r="A193" s="25" t="s">
        <v>1014</v>
      </c>
      <c r="B193" s="25" t="s">
        <v>620</v>
      </c>
      <c r="C193" s="25" t="s">
        <v>621</v>
      </c>
      <c r="D193" s="25" t="s">
        <v>622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7814</f>
        <v>7814</v>
      </c>
      <c r="L193" s="32" t="s">
        <v>904</v>
      </c>
      <c r="M193" s="31">
        <f>8090</f>
        <v>8090</v>
      </c>
      <c r="N193" s="32" t="s">
        <v>56</v>
      </c>
      <c r="O193" s="31">
        <f>7267</f>
        <v>7267</v>
      </c>
      <c r="P193" s="32" t="s">
        <v>94</v>
      </c>
      <c r="Q193" s="31">
        <f>7480</f>
        <v>7480</v>
      </c>
      <c r="R193" s="32" t="s">
        <v>934</v>
      </c>
      <c r="S193" s="33">
        <f>7707</f>
        <v>7707</v>
      </c>
      <c r="T193" s="30">
        <f>26975</f>
        <v>26975</v>
      </c>
      <c r="U193" s="30" t="str">
        <f t="shared" ref="U193:U201" si="8">"－"</f>
        <v>－</v>
      </c>
      <c r="V193" s="30">
        <f>210029865</f>
        <v>210029865</v>
      </c>
      <c r="W193" s="30" t="str">
        <f t="shared" ref="W193:W201" si="9">"－"</f>
        <v>－</v>
      </c>
      <c r="X193" s="34">
        <f>20</f>
        <v>20</v>
      </c>
    </row>
    <row r="194" spans="1:24" x14ac:dyDescent="0.15">
      <c r="A194" s="25" t="s">
        <v>1014</v>
      </c>
      <c r="B194" s="25" t="s">
        <v>623</v>
      </c>
      <c r="C194" s="25" t="s">
        <v>624</v>
      </c>
      <c r="D194" s="25" t="s">
        <v>625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16345</f>
        <v>16345</v>
      </c>
      <c r="L194" s="32" t="s">
        <v>904</v>
      </c>
      <c r="M194" s="31">
        <f>17000</f>
        <v>17000</v>
      </c>
      <c r="N194" s="32" t="s">
        <v>695</v>
      </c>
      <c r="O194" s="31">
        <f>15725</f>
        <v>15725</v>
      </c>
      <c r="P194" s="32" t="s">
        <v>934</v>
      </c>
      <c r="Q194" s="31">
        <f>15725</f>
        <v>15725</v>
      </c>
      <c r="R194" s="32" t="s">
        <v>934</v>
      </c>
      <c r="S194" s="33">
        <f>16465.88</f>
        <v>16465.88</v>
      </c>
      <c r="T194" s="30">
        <f>95</f>
        <v>95</v>
      </c>
      <c r="U194" s="30" t="str">
        <f t="shared" si="8"/>
        <v>－</v>
      </c>
      <c r="V194" s="30">
        <f>1564650</f>
        <v>1564650</v>
      </c>
      <c r="W194" s="30" t="str">
        <f t="shared" si="9"/>
        <v>－</v>
      </c>
      <c r="X194" s="34">
        <f>17</f>
        <v>17</v>
      </c>
    </row>
    <row r="195" spans="1:24" x14ac:dyDescent="0.15">
      <c r="A195" s="25" t="s">
        <v>1014</v>
      </c>
      <c r="B195" s="25" t="s">
        <v>626</v>
      </c>
      <c r="C195" s="25" t="s">
        <v>627</v>
      </c>
      <c r="D195" s="25" t="s">
        <v>628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23085</f>
        <v>23085</v>
      </c>
      <c r="L195" s="32" t="s">
        <v>904</v>
      </c>
      <c r="M195" s="31">
        <f>24445</f>
        <v>24445</v>
      </c>
      <c r="N195" s="32" t="s">
        <v>56</v>
      </c>
      <c r="O195" s="31">
        <f>21755</f>
        <v>21755</v>
      </c>
      <c r="P195" s="32" t="s">
        <v>94</v>
      </c>
      <c r="Q195" s="31">
        <f>22085</f>
        <v>22085</v>
      </c>
      <c r="R195" s="32" t="s">
        <v>934</v>
      </c>
      <c r="S195" s="33">
        <f>23202.75</f>
        <v>23202.75</v>
      </c>
      <c r="T195" s="30">
        <f>26653</f>
        <v>26653</v>
      </c>
      <c r="U195" s="30" t="str">
        <f t="shared" si="8"/>
        <v>－</v>
      </c>
      <c r="V195" s="30">
        <f>616743780</f>
        <v>616743780</v>
      </c>
      <c r="W195" s="30" t="str">
        <f t="shared" si="9"/>
        <v>－</v>
      </c>
      <c r="X195" s="34">
        <f>20</f>
        <v>20</v>
      </c>
    </row>
    <row r="196" spans="1:24" x14ac:dyDescent="0.15">
      <c r="A196" s="25" t="s">
        <v>1014</v>
      </c>
      <c r="B196" s="25" t="s">
        <v>629</v>
      </c>
      <c r="C196" s="25" t="s">
        <v>630</v>
      </c>
      <c r="D196" s="25" t="s">
        <v>631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16185</f>
        <v>16185</v>
      </c>
      <c r="L196" s="32" t="s">
        <v>904</v>
      </c>
      <c r="M196" s="31">
        <f>16995</f>
        <v>16995</v>
      </c>
      <c r="N196" s="32" t="s">
        <v>56</v>
      </c>
      <c r="O196" s="31">
        <f>14770</f>
        <v>14770</v>
      </c>
      <c r="P196" s="32" t="s">
        <v>934</v>
      </c>
      <c r="Q196" s="31">
        <f>15115</f>
        <v>15115</v>
      </c>
      <c r="R196" s="32" t="s">
        <v>934</v>
      </c>
      <c r="S196" s="33">
        <f>16262.78</f>
        <v>16262.78</v>
      </c>
      <c r="T196" s="30">
        <f>626</f>
        <v>626</v>
      </c>
      <c r="U196" s="30" t="str">
        <f t="shared" si="8"/>
        <v>－</v>
      </c>
      <c r="V196" s="30">
        <f>10118720</f>
        <v>10118720</v>
      </c>
      <c r="W196" s="30" t="str">
        <f t="shared" si="9"/>
        <v>－</v>
      </c>
      <c r="X196" s="34">
        <f>18</f>
        <v>18</v>
      </c>
    </row>
    <row r="197" spans="1:24" x14ac:dyDescent="0.15">
      <c r="A197" s="25" t="s">
        <v>1014</v>
      </c>
      <c r="B197" s="25" t="s">
        <v>632</v>
      </c>
      <c r="C197" s="25" t="s">
        <v>633</v>
      </c>
      <c r="D197" s="25" t="s">
        <v>634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19000</f>
        <v>19000</v>
      </c>
      <c r="L197" s="32" t="s">
        <v>904</v>
      </c>
      <c r="M197" s="31">
        <f>21085</f>
        <v>21085</v>
      </c>
      <c r="N197" s="32" t="s">
        <v>915</v>
      </c>
      <c r="O197" s="31">
        <f>17545</f>
        <v>17545</v>
      </c>
      <c r="P197" s="32" t="s">
        <v>934</v>
      </c>
      <c r="Q197" s="31">
        <f>18500</f>
        <v>18500</v>
      </c>
      <c r="R197" s="32" t="s">
        <v>934</v>
      </c>
      <c r="S197" s="33">
        <f>19743.25</f>
        <v>19743.25</v>
      </c>
      <c r="T197" s="30">
        <f>35630</f>
        <v>35630</v>
      </c>
      <c r="U197" s="30" t="str">
        <f t="shared" si="8"/>
        <v>－</v>
      </c>
      <c r="V197" s="30">
        <f>702525840</f>
        <v>702525840</v>
      </c>
      <c r="W197" s="30" t="str">
        <f t="shared" si="9"/>
        <v>－</v>
      </c>
      <c r="X197" s="34">
        <f>20</f>
        <v>20</v>
      </c>
    </row>
    <row r="198" spans="1:24" x14ac:dyDescent="0.15">
      <c r="A198" s="25" t="s">
        <v>1014</v>
      </c>
      <c r="B198" s="25" t="s">
        <v>635</v>
      </c>
      <c r="C198" s="25" t="s">
        <v>636</v>
      </c>
      <c r="D198" s="25" t="s">
        <v>637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4530</f>
        <v>4530</v>
      </c>
      <c r="L198" s="32" t="s">
        <v>904</v>
      </c>
      <c r="M198" s="31">
        <f>4845</f>
        <v>4845</v>
      </c>
      <c r="N198" s="32" t="s">
        <v>812</v>
      </c>
      <c r="O198" s="31">
        <f>4510</f>
        <v>4510</v>
      </c>
      <c r="P198" s="32" t="s">
        <v>909</v>
      </c>
      <c r="Q198" s="31">
        <f>4760</f>
        <v>4760</v>
      </c>
      <c r="R198" s="32" t="s">
        <v>934</v>
      </c>
      <c r="S198" s="33">
        <f>4647</f>
        <v>4647</v>
      </c>
      <c r="T198" s="30">
        <f>11083</f>
        <v>11083</v>
      </c>
      <c r="U198" s="30" t="str">
        <f t="shared" si="8"/>
        <v>－</v>
      </c>
      <c r="V198" s="30">
        <f>52115025</f>
        <v>52115025</v>
      </c>
      <c r="W198" s="30" t="str">
        <f t="shared" si="9"/>
        <v>－</v>
      </c>
      <c r="X198" s="34">
        <f>20</f>
        <v>20</v>
      </c>
    </row>
    <row r="199" spans="1:24" x14ac:dyDescent="0.15">
      <c r="A199" s="25" t="s">
        <v>1014</v>
      </c>
      <c r="B199" s="25" t="s">
        <v>638</v>
      </c>
      <c r="C199" s="25" t="s">
        <v>639</v>
      </c>
      <c r="D199" s="25" t="s">
        <v>640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15500</f>
        <v>15500</v>
      </c>
      <c r="L199" s="32" t="s">
        <v>904</v>
      </c>
      <c r="M199" s="31">
        <f>16500</f>
        <v>16500</v>
      </c>
      <c r="N199" s="32" t="s">
        <v>813</v>
      </c>
      <c r="O199" s="31">
        <f>15370</f>
        <v>15370</v>
      </c>
      <c r="P199" s="32" t="s">
        <v>934</v>
      </c>
      <c r="Q199" s="31">
        <f>15765</f>
        <v>15765</v>
      </c>
      <c r="R199" s="32" t="s">
        <v>934</v>
      </c>
      <c r="S199" s="33">
        <f>16085.75</f>
        <v>16085.75</v>
      </c>
      <c r="T199" s="30">
        <f>2224</f>
        <v>2224</v>
      </c>
      <c r="U199" s="30" t="str">
        <f t="shared" si="8"/>
        <v>－</v>
      </c>
      <c r="V199" s="30">
        <f>35526775</f>
        <v>35526775</v>
      </c>
      <c r="W199" s="30" t="str">
        <f t="shared" si="9"/>
        <v>－</v>
      </c>
      <c r="X199" s="34">
        <f>20</f>
        <v>20</v>
      </c>
    </row>
    <row r="200" spans="1:24" x14ac:dyDescent="0.15">
      <c r="A200" s="25" t="s">
        <v>1014</v>
      </c>
      <c r="B200" s="25" t="s">
        <v>641</v>
      </c>
      <c r="C200" s="25" t="s">
        <v>642</v>
      </c>
      <c r="D200" s="25" t="s">
        <v>643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12910</f>
        <v>12910</v>
      </c>
      <c r="L200" s="32" t="s">
        <v>904</v>
      </c>
      <c r="M200" s="31">
        <f>13070</f>
        <v>13070</v>
      </c>
      <c r="N200" s="32" t="s">
        <v>813</v>
      </c>
      <c r="O200" s="31">
        <f>12240</f>
        <v>12240</v>
      </c>
      <c r="P200" s="32" t="s">
        <v>94</v>
      </c>
      <c r="Q200" s="31">
        <f>12570</f>
        <v>12570</v>
      </c>
      <c r="R200" s="32" t="s">
        <v>936</v>
      </c>
      <c r="S200" s="33">
        <f>12790</f>
        <v>12790</v>
      </c>
      <c r="T200" s="30">
        <f>53</f>
        <v>53</v>
      </c>
      <c r="U200" s="30" t="str">
        <f t="shared" si="8"/>
        <v>－</v>
      </c>
      <c r="V200" s="30">
        <f>668865</f>
        <v>668865</v>
      </c>
      <c r="W200" s="30" t="str">
        <f t="shared" si="9"/>
        <v>－</v>
      </c>
      <c r="X200" s="34">
        <f>6</f>
        <v>6</v>
      </c>
    </row>
    <row r="201" spans="1:24" x14ac:dyDescent="0.15">
      <c r="A201" s="25" t="s">
        <v>1014</v>
      </c>
      <c r="B201" s="25" t="s">
        <v>644</v>
      </c>
      <c r="C201" s="25" t="s">
        <v>645</v>
      </c>
      <c r="D201" s="25" t="s">
        <v>646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18105</f>
        <v>18105</v>
      </c>
      <c r="L201" s="32" t="s">
        <v>904</v>
      </c>
      <c r="M201" s="31">
        <f>19040</f>
        <v>19040</v>
      </c>
      <c r="N201" s="32" t="s">
        <v>87</v>
      </c>
      <c r="O201" s="31">
        <f>17965</f>
        <v>17965</v>
      </c>
      <c r="P201" s="32" t="s">
        <v>810</v>
      </c>
      <c r="Q201" s="31">
        <f>18460</f>
        <v>18460</v>
      </c>
      <c r="R201" s="32" t="s">
        <v>936</v>
      </c>
      <c r="S201" s="33">
        <f>18609.38</f>
        <v>18609.38</v>
      </c>
      <c r="T201" s="30">
        <f>800</f>
        <v>800</v>
      </c>
      <c r="U201" s="30" t="str">
        <f t="shared" si="8"/>
        <v>－</v>
      </c>
      <c r="V201" s="30">
        <f>14626350</f>
        <v>14626350</v>
      </c>
      <c r="W201" s="30" t="str">
        <f t="shared" si="9"/>
        <v>－</v>
      </c>
      <c r="X201" s="34">
        <f>16</f>
        <v>16</v>
      </c>
    </row>
    <row r="202" spans="1:24" x14ac:dyDescent="0.15">
      <c r="A202" s="25" t="s">
        <v>1014</v>
      </c>
      <c r="B202" s="25" t="s">
        <v>647</v>
      </c>
      <c r="C202" s="25" t="s">
        <v>648</v>
      </c>
      <c r="D202" s="25" t="s">
        <v>649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17625</f>
        <v>17625</v>
      </c>
      <c r="L202" s="32" t="s">
        <v>904</v>
      </c>
      <c r="M202" s="31">
        <f>18505</f>
        <v>18505</v>
      </c>
      <c r="N202" s="32" t="s">
        <v>908</v>
      </c>
      <c r="O202" s="31">
        <f>17625</f>
        <v>17625</v>
      </c>
      <c r="P202" s="32" t="s">
        <v>904</v>
      </c>
      <c r="Q202" s="31">
        <f>17640</f>
        <v>17640</v>
      </c>
      <c r="R202" s="32" t="s">
        <v>934</v>
      </c>
      <c r="S202" s="33">
        <f>18055.83</f>
        <v>18055.830000000002</v>
      </c>
      <c r="T202" s="30">
        <f>1230</f>
        <v>1230</v>
      </c>
      <c r="U202" s="30">
        <f>1</f>
        <v>1</v>
      </c>
      <c r="V202" s="30">
        <f>21693380</f>
        <v>21693380</v>
      </c>
      <c r="W202" s="30">
        <f>18505</f>
        <v>18505</v>
      </c>
      <c r="X202" s="34">
        <f>6</f>
        <v>6</v>
      </c>
    </row>
    <row r="203" spans="1:24" x14ac:dyDescent="0.15">
      <c r="A203" s="25" t="s">
        <v>1014</v>
      </c>
      <c r="B203" s="25" t="s">
        <v>650</v>
      </c>
      <c r="C203" s="25" t="s">
        <v>651</v>
      </c>
      <c r="D203" s="25" t="s">
        <v>652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13095</f>
        <v>13095</v>
      </c>
      <c r="L203" s="32" t="s">
        <v>909</v>
      </c>
      <c r="M203" s="31">
        <f>13430</f>
        <v>13430</v>
      </c>
      <c r="N203" s="32" t="s">
        <v>813</v>
      </c>
      <c r="O203" s="31">
        <f>12490</f>
        <v>12490</v>
      </c>
      <c r="P203" s="32" t="s">
        <v>94</v>
      </c>
      <c r="Q203" s="31">
        <f>12490</f>
        <v>12490</v>
      </c>
      <c r="R203" s="32" t="s">
        <v>94</v>
      </c>
      <c r="S203" s="33">
        <f>13167.5</f>
        <v>13167.5</v>
      </c>
      <c r="T203" s="30">
        <f>1031</f>
        <v>1031</v>
      </c>
      <c r="U203" s="30" t="str">
        <f t="shared" ref="U203:U209" si="10">"－"</f>
        <v>－</v>
      </c>
      <c r="V203" s="30">
        <f>13699240</f>
        <v>13699240</v>
      </c>
      <c r="W203" s="30" t="str">
        <f t="shared" ref="W203:W209" si="11">"－"</f>
        <v>－</v>
      </c>
      <c r="X203" s="34">
        <f>8</f>
        <v>8</v>
      </c>
    </row>
    <row r="204" spans="1:24" x14ac:dyDescent="0.15">
      <c r="A204" s="25" t="s">
        <v>1014</v>
      </c>
      <c r="B204" s="25" t="s">
        <v>653</v>
      </c>
      <c r="C204" s="25" t="s">
        <v>654</v>
      </c>
      <c r="D204" s="25" t="s">
        <v>655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 t="str">
        <f>"－"</f>
        <v>－</v>
      </c>
      <c r="L204" s="32"/>
      <c r="M204" s="31" t="str">
        <f>"－"</f>
        <v>－</v>
      </c>
      <c r="N204" s="32"/>
      <c r="O204" s="31" t="str">
        <f>"－"</f>
        <v>－</v>
      </c>
      <c r="P204" s="32"/>
      <c r="Q204" s="31" t="str">
        <f>"－"</f>
        <v>－</v>
      </c>
      <c r="R204" s="32"/>
      <c r="S204" s="33" t="str">
        <f>"－"</f>
        <v>－</v>
      </c>
      <c r="T204" s="30" t="str">
        <f>"－"</f>
        <v>－</v>
      </c>
      <c r="U204" s="30" t="str">
        <f t="shared" si="10"/>
        <v>－</v>
      </c>
      <c r="V204" s="30" t="str">
        <f>"－"</f>
        <v>－</v>
      </c>
      <c r="W204" s="30" t="str">
        <f t="shared" si="11"/>
        <v>－</v>
      </c>
      <c r="X204" s="34" t="str">
        <f>"－"</f>
        <v>－</v>
      </c>
    </row>
    <row r="205" spans="1:24" x14ac:dyDescent="0.15">
      <c r="A205" s="25" t="s">
        <v>1014</v>
      </c>
      <c r="B205" s="25" t="s">
        <v>656</v>
      </c>
      <c r="C205" s="25" t="s">
        <v>657</v>
      </c>
      <c r="D205" s="25" t="s">
        <v>658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 t="str">
        <f>"－"</f>
        <v>－</v>
      </c>
      <c r="L205" s="32"/>
      <c r="M205" s="31" t="str">
        <f>"－"</f>
        <v>－</v>
      </c>
      <c r="N205" s="32"/>
      <c r="O205" s="31" t="str">
        <f>"－"</f>
        <v>－</v>
      </c>
      <c r="P205" s="32"/>
      <c r="Q205" s="31" t="str">
        <f>"－"</f>
        <v>－</v>
      </c>
      <c r="R205" s="32"/>
      <c r="S205" s="33" t="str">
        <f>"－"</f>
        <v>－</v>
      </c>
      <c r="T205" s="30" t="str">
        <f>"－"</f>
        <v>－</v>
      </c>
      <c r="U205" s="30" t="str">
        <f t="shared" si="10"/>
        <v>－</v>
      </c>
      <c r="V205" s="30" t="str">
        <f>"－"</f>
        <v>－</v>
      </c>
      <c r="W205" s="30" t="str">
        <f t="shared" si="11"/>
        <v>－</v>
      </c>
      <c r="X205" s="34" t="str">
        <f>"－"</f>
        <v>－</v>
      </c>
    </row>
    <row r="206" spans="1:24" x14ac:dyDescent="0.15">
      <c r="A206" s="25" t="s">
        <v>1014</v>
      </c>
      <c r="B206" s="25" t="s">
        <v>659</v>
      </c>
      <c r="C206" s="25" t="s">
        <v>660</v>
      </c>
      <c r="D206" s="25" t="s">
        <v>661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9491</f>
        <v>9491</v>
      </c>
      <c r="L206" s="32" t="s">
        <v>810</v>
      </c>
      <c r="M206" s="31">
        <f>9602</f>
        <v>9602</v>
      </c>
      <c r="N206" s="32" t="s">
        <v>912</v>
      </c>
      <c r="O206" s="31">
        <f>9270</f>
        <v>9270</v>
      </c>
      <c r="P206" s="32" t="s">
        <v>94</v>
      </c>
      <c r="Q206" s="31">
        <f>9452</f>
        <v>9452</v>
      </c>
      <c r="R206" s="32" t="s">
        <v>934</v>
      </c>
      <c r="S206" s="33">
        <f>9459.4</f>
        <v>9459.4</v>
      </c>
      <c r="T206" s="30">
        <f>507</f>
        <v>507</v>
      </c>
      <c r="U206" s="30" t="str">
        <f t="shared" si="10"/>
        <v>－</v>
      </c>
      <c r="V206" s="30">
        <f>4808275</f>
        <v>4808275</v>
      </c>
      <c r="W206" s="30" t="str">
        <f t="shared" si="11"/>
        <v>－</v>
      </c>
      <c r="X206" s="34">
        <f>5</f>
        <v>5</v>
      </c>
    </row>
    <row r="207" spans="1:24" x14ac:dyDescent="0.15">
      <c r="A207" s="25" t="s">
        <v>1014</v>
      </c>
      <c r="B207" s="25" t="s">
        <v>662</v>
      </c>
      <c r="C207" s="25" t="s">
        <v>663</v>
      </c>
      <c r="D207" s="25" t="s">
        <v>664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10040</f>
        <v>10040</v>
      </c>
      <c r="L207" s="32" t="s">
        <v>904</v>
      </c>
      <c r="M207" s="31">
        <f>10335</f>
        <v>10335</v>
      </c>
      <c r="N207" s="32" t="s">
        <v>56</v>
      </c>
      <c r="O207" s="31">
        <f>9450</f>
        <v>9450</v>
      </c>
      <c r="P207" s="32" t="s">
        <v>94</v>
      </c>
      <c r="Q207" s="31">
        <f>9542</f>
        <v>9542</v>
      </c>
      <c r="R207" s="32" t="s">
        <v>934</v>
      </c>
      <c r="S207" s="33">
        <f>9920.79</f>
        <v>9920.7900000000009</v>
      </c>
      <c r="T207" s="30">
        <f>38159</f>
        <v>38159</v>
      </c>
      <c r="U207" s="30" t="str">
        <f t="shared" si="10"/>
        <v>－</v>
      </c>
      <c r="V207" s="30">
        <f>378557526</f>
        <v>378557526</v>
      </c>
      <c r="W207" s="30" t="str">
        <f t="shared" si="11"/>
        <v>－</v>
      </c>
      <c r="X207" s="34">
        <f>19</f>
        <v>19</v>
      </c>
    </row>
    <row r="208" spans="1:24" x14ac:dyDescent="0.15">
      <c r="A208" s="25" t="s">
        <v>1014</v>
      </c>
      <c r="B208" s="25" t="s">
        <v>665</v>
      </c>
      <c r="C208" s="25" t="s">
        <v>666</v>
      </c>
      <c r="D208" s="25" t="s">
        <v>667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9648</f>
        <v>9648</v>
      </c>
      <c r="L208" s="32" t="s">
        <v>904</v>
      </c>
      <c r="M208" s="31">
        <f>9989</f>
        <v>9989</v>
      </c>
      <c r="N208" s="32" t="s">
        <v>56</v>
      </c>
      <c r="O208" s="31">
        <f>9500</f>
        <v>9500</v>
      </c>
      <c r="P208" s="32" t="s">
        <v>936</v>
      </c>
      <c r="Q208" s="31">
        <f>9500</f>
        <v>9500</v>
      </c>
      <c r="R208" s="32" t="s">
        <v>936</v>
      </c>
      <c r="S208" s="33">
        <f>9677.27</f>
        <v>9677.27</v>
      </c>
      <c r="T208" s="30">
        <f>3971</f>
        <v>3971</v>
      </c>
      <c r="U208" s="30" t="str">
        <f t="shared" si="10"/>
        <v>－</v>
      </c>
      <c r="V208" s="30">
        <f>38812332</f>
        <v>38812332</v>
      </c>
      <c r="W208" s="30" t="str">
        <f t="shared" si="11"/>
        <v>－</v>
      </c>
      <c r="X208" s="34">
        <f>11</f>
        <v>11</v>
      </c>
    </row>
    <row r="209" spans="1:24" x14ac:dyDescent="0.15">
      <c r="A209" s="25" t="s">
        <v>1014</v>
      </c>
      <c r="B209" s="25" t="s">
        <v>945</v>
      </c>
      <c r="C209" s="25" t="s">
        <v>946</v>
      </c>
      <c r="D209" s="25" t="s">
        <v>947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9896</f>
        <v>9896</v>
      </c>
      <c r="L209" s="32" t="s">
        <v>66</v>
      </c>
      <c r="M209" s="31">
        <f>9896</f>
        <v>9896</v>
      </c>
      <c r="N209" s="32" t="s">
        <v>66</v>
      </c>
      <c r="O209" s="31">
        <f>9700</f>
        <v>9700</v>
      </c>
      <c r="P209" s="32" t="s">
        <v>94</v>
      </c>
      <c r="Q209" s="31">
        <f>9700</f>
        <v>9700</v>
      </c>
      <c r="R209" s="32" t="s">
        <v>934</v>
      </c>
      <c r="S209" s="33">
        <f>9765.33</f>
        <v>9765.33</v>
      </c>
      <c r="T209" s="30">
        <f>2060</f>
        <v>2060</v>
      </c>
      <c r="U209" s="30" t="str">
        <f t="shared" si="10"/>
        <v>－</v>
      </c>
      <c r="V209" s="30">
        <f>19983960</f>
        <v>19983960</v>
      </c>
      <c r="W209" s="30" t="str">
        <f t="shared" si="11"/>
        <v>－</v>
      </c>
      <c r="X209" s="34">
        <f>3</f>
        <v>3</v>
      </c>
    </row>
    <row r="210" spans="1:24" x14ac:dyDescent="0.15">
      <c r="A210" s="25" t="s">
        <v>1014</v>
      </c>
      <c r="B210" s="25" t="s">
        <v>668</v>
      </c>
      <c r="C210" s="25" t="s">
        <v>669</v>
      </c>
      <c r="D210" s="25" t="s">
        <v>670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971</f>
        <v>971</v>
      </c>
      <c r="L210" s="32" t="s">
        <v>904</v>
      </c>
      <c r="M210" s="31">
        <f>971</f>
        <v>971</v>
      </c>
      <c r="N210" s="32" t="s">
        <v>904</v>
      </c>
      <c r="O210" s="31">
        <f>947.1</f>
        <v>947.1</v>
      </c>
      <c r="P210" s="32" t="s">
        <v>934</v>
      </c>
      <c r="Q210" s="31">
        <f>953.4</f>
        <v>953.4</v>
      </c>
      <c r="R210" s="32" t="s">
        <v>934</v>
      </c>
      <c r="S210" s="33">
        <f>957.58</f>
        <v>957.58</v>
      </c>
      <c r="T210" s="30">
        <f>6039860</f>
        <v>6039860</v>
      </c>
      <c r="U210" s="30">
        <f>4136160</f>
        <v>4136160</v>
      </c>
      <c r="V210" s="30">
        <f>5785223096</f>
        <v>5785223096</v>
      </c>
      <c r="W210" s="30">
        <f>3961806300</f>
        <v>3961806300</v>
      </c>
      <c r="X210" s="34">
        <f>20</f>
        <v>20</v>
      </c>
    </row>
    <row r="211" spans="1:24" x14ac:dyDescent="0.15">
      <c r="A211" s="25" t="s">
        <v>1014</v>
      </c>
      <c r="B211" s="25" t="s">
        <v>671</v>
      </c>
      <c r="C211" s="25" t="s">
        <v>672</v>
      </c>
      <c r="D211" s="25" t="s">
        <v>673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1026.5</f>
        <v>1026.5</v>
      </c>
      <c r="L211" s="32" t="s">
        <v>904</v>
      </c>
      <c r="M211" s="31">
        <f>1045</f>
        <v>1045</v>
      </c>
      <c r="N211" s="32" t="s">
        <v>810</v>
      </c>
      <c r="O211" s="31">
        <f>976.1</f>
        <v>976.1</v>
      </c>
      <c r="P211" s="32" t="s">
        <v>94</v>
      </c>
      <c r="Q211" s="31">
        <f>996.3</f>
        <v>996.3</v>
      </c>
      <c r="R211" s="32" t="s">
        <v>934</v>
      </c>
      <c r="S211" s="33">
        <f>1017.24</f>
        <v>1017.24</v>
      </c>
      <c r="T211" s="30">
        <f>3572860</f>
        <v>3572860</v>
      </c>
      <c r="U211" s="30">
        <f>2328570</f>
        <v>2328570</v>
      </c>
      <c r="V211" s="30">
        <f>3634222354</f>
        <v>3634222354</v>
      </c>
      <c r="W211" s="30">
        <f>2371788259</f>
        <v>2371788259</v>
      </c>
      <c r="X211" s="34">
        <f>20</f>
        <v>20</v>
      </c>
    </row>
    <row r="212" spans="1:24" x14ac:dyDescent="0.15">
      <c r="A212" s="25" t="s">
        <v>1014</v>
      </c>
      <c r="B212" s="25" t="s">
        <v>674</v>
      </c>
      <c r="C212" s="25" t="s">
        <v>675</v>
      </c>
      <c r="D212" s="25" t="s">
        <v>676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884</f>
        <v>884</v>
      </c>
      <c r="L212" s="32" t="s">
        <v>904</v>
      </c>
      <c r="M212" s="31">
        <f>887.8</f>
        <v>887.8</v>
      </c>
      <c r="N212" s="32" t="s">
        <v>810</v>
      </c>
      <c r="O212" s="31">
        <f>830.6</f>
        <v>830.6</v>
      </c>
      <c r="P212" s="32" t="s">
        <v>94</v>
      </c>
      <c r="Q212" s="31">
        <f>839.1</f>
        <v>839.1</v>
      </c>
      <c r="R212" s="32" t="s">
        <v>934</v>
      </c>
      <c r="S212" s="33">
        <f>859.21</f>
        <v>859.21</v>
      </c>
      <c r="T212" s="30">
        <f>10233620</f>
        <v>10233620</v>
      </c>
      <c r="U212" s="30">
        <f>9626300</f>
        <v>9626300</v>
      </c>
      <c r="V212" s="30">
        <f>8736329485</f>
        <v>8736329485</v>
      </c>
      <c r="W212" s="30">
        <f>8212758627</f>
        <v>8212758627</v>
      </c>
      <c r="X212" s="34">
        <f>20</f>
        <v>20</v>
      </c>
    </row>
    <row r="213" spans="1:24" x14ac:dyDescent="0.15">
      <c r="A213" s="25" t="s">
        <v>1014</v>
      </c>
      <c r="B213" s="25" t="s">
        <v>677</v>
      </c>
      <c r="C213" s="25" t="s">
        <v>678</v>
      </c>
      <c r="D213" s="25" t="s">
        <v>679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1671</f>
        <v>1671</v>
      </c>
      <c r="L213" s="32" t="s">
        <v>904</v>
      </c>
      <c r="M213" s="31">
        <f>1771</f>
        <v>1771</v>
      </c>
      <c r="N213" s="32" t="s">
        <v>56</v>
      </c>
      <c r="O213" s="31">
        <f>1567.5</f>
        <v>1567.5</v>
      </c>
      <c r="P213" s="32" t="s">
        <v>94</v>
      </c>
      <c r="Q213" s="31">
        <f>1585.5</f>
        <v>1585.5</v>
      </c>
      <c r="R213" s="32" t="s">
        <v>934</v>
      </c>
      <c r="S213" s="33">
        <f>1671.45</f>
        <v>1671.45</v>
      </c>
      <c r="T213" s="30">
        <f>2122430</f>
        <v>2122430</v>
      </c>
      <c r="U213" s="30">
        <f>1491830</f>
        <v>1491830</v>
      </c>
      <c r="V213" s="30">
        <f>3484760699</f>
        <v>3484760699</v>
      </c>
      <c r="W213" s="30">
        <f>2441726394</f>
        <v>2441726394</v>
      </c>
      <c r="X213" s="34">
        <f>20</f>
        <v>20</v>
      </c>
    </row>
    <row r="214" spans="1:24" x14ac:dyDescent="0.15">
      <c r="A214" s="25" t="s">
        <v>1014</v>
      </c>
      <c r="B214" s="25" t="s">
        <v>680</v>
      </c>
      <c r="C214" s="25" t="s">
        <v>681</v>
      </c>
      <c r="D214" s="25" t="s">
        <v>682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1322.5</f>
        <v>1322.5</v>
      </c>
      <c r="L214" s="32" t="s">
        <v>904</v>
      </c>
      <c r="M214" s="31">
        <f>1363.5</f>
        <v>1363.5</v>
      </c>
      <c r="N214" s="32" t="s">
        <v>56</v>
      </c>
      <c r="O214" s="31">
        <f>1195.5</f>
        <v>1195.5</v>
      </c>
      <c r="P214" s="32" t="s">
        <v>94</v>
      </c>
      <c r="Q214" s="31">
        <f>1205.5</f>
        <v>1205.5</v>
      </c>
      <c r="R214" s="32" t="s">
        <v>934</v>
      </c>
      <c r="S214" s="33">
        <f>1284.3</f>
        <v>1284.3</v>
      </c>
      <c r="T214" s="30">
        <f>2366640</f>
        <v>2366640</v>
      </c>
      <c r="U214" s="30">
        <f>2165340</f>
        <v>2165340</v>
      </c>
      <c r="V214" s="30">
        <f>3016417689</f>
        <v>3016417689</v>
      </c>
      <c r="W214" s="30">
        <f>2761290204</f>
        <v>2761290204</v>
      </c>
      <c r="X214" s="34">
        <f>20</f>
        <v>20</v>
      </c>
    </row>
    <row r="215" spans="1:24" x14ac:dyDescent="0.15">
      <c r="A215" s="25" t="s">
        <v>1014</v>
      </c>
      <c r="B215" s="25" t="s">
        <v>683</v>
      </c>
      <c r="C215" s="25" t="s">
        <v>684</v>
      </c>
      <c r="D215" s="25" t="s">
        <v>685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1291</f>
        <v>1291</v>
      </c>
      <c r="L215" s="32" t="s">
        <v>904</v>
      </c>
      <c r="M215" s="31">
        <f>1349</f>
        <v>1349</v>
      </c>
      <c r="N215" s="32" t="s">
        <v>56</v>
      </c>
      <c r="O215" s="31">
        <f>1128</f>
        <v>1128</v>
      </c>
      <c r="P215" s="32" t="s">
        <v>94</v>
      </c>
      <c r="Q215" s="31">
        <f>1135.5</f>
        <v>1135.5</v>
      </c>
      <c r="R215" s="32" t="s">
        <v>934</v>
      </c>
      <c r="S215" s="33">
        <f>1259.8</f>
        <v>1259.8</v>
      </c>
      <c r="T215" s="30">
        <f>1102880</f>
        <v>1102880</v>
      </c>
      <c r="U215" s="30">
        <f>477880</f>
        <v>477880</v>
      </c>
      <c r="V215" s="30">
        <f>1312982449</f>
        <v>1312982449</v>
      </c>
      <c r="W215" s="30">
        <f>548101354</f>
        <v>548101354</v>
      </c>
      <c r="X215" s="34">
        <f>20</f>
        <v>20</v>
      </c>
    </row>
    <row r="216" spans="1:24" x14ac:dyDescent="0.15">
      <c r="A216" s="25" t="s">
        <v>1014</v>
      </c>
      <c r="B216" s="25" t="s">
        <v>686</v>
      </c>
      <c r="C216" s="25" t="s">
        <v>687</v>
      </c>
      <c r="D216" s="25" t="s">
        <v>688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564.8</f>
        <v>564.79999999999995</v>
      </c>
      <c r="L216" s="32" t="s">
        <v>904</v>
      </c>
      <c r="M216" s="31">
        <f>585.8</f>
        <v>585.79999999999995</v>
      </c>
      <c r="N216" s="32" t="s">
        <v>56</v>
      </c>
      <c r="O216" s="31">
        <f>529.4</f>
        <v>529.4</v>
      </c>
      <c r="P216" s="32" t="s">
        <v>94</v>
      </c>
      <c r="Q216" s="31">
        <f>539</f>
        <v>539</v>
      </c>
      <c r="R216" s="32" t="s">
        <v>934</v>
      </c>
      <c r="S216" s="33">
        <f>557.52</f>
        <v>557.52</v>
      </c>
      <c r="T216" s="30">
        <f>34739400</f>
        <v>34739400</v>
      </c>
      <c r="U216" s="30">
        <f>113720</f>
        <v>113720</v>
      </c>
      <c r="V216" s="30">
        <f>19353960279</f>
        <v>19353960279</v>
      </c>
      <c r="W216" s="30">
        <f>62758538</f>
        <v>62758538</v>
      </c>
      <c r="X216" s="34">
        <f>20</f>
        <v>20</v>
      </c>
    </row>
    <row r="217" spans="1:24" x14ac:dyDescent="0.15">
      <c r="A217" s="25" t="s">
        <v>1014</v>
      </c>
      <c r="B217" s="25" t="s">
        <v>689</v>
      </c>
      <c r="C217" s="25" t="s">
        <v>690</v>
      </c>
      <c r="D217" s="25" t="s">
        <v>691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1197.5</f>
        <v>1197.5</v>
      </c>
      <c r="L217" s="32" t="s">
        <v>904</v>
      </c>
      <c r="M217" s="31">
        <f>1208</f>
        <v>1208</v>
      </c>
      <c r="N217" s="32" t="s">
        <v>87</v>
      </c>
      <c r="O217" s="31">
        <f>1133</f>
        <v>1133</v>
      </c>
      <c r="P217" s="32" t="s">
        <v>94</v>
      </c>
      <c r="Q217" s="31">
        <f>1158.5</f>
        <v>1158.5</v>
      </c>
      <c r="R217" s="32" t="s">
        <v>934</v>
      </c>
      <c r="S217" s="33">
        <f>1185.23</f>
        <v>1185.23</v>
      </c>
      <c r="T217" s="30">
        <f>1025430</f>
        <v>1025430</v>
      </c>
      <c r="U217" s="30">
        <f>843500</f>
        <v>843500</v>
      </c>
      <c r="V217" s="30">
        <f>1209530055</f>
        <v>1209530055</v>
      </c>
      <c r="W217" s="30">
        <f>996608150</f>
        <v>996608150</v>
      </c>
      <c r="X217" s="34">
        <f>20</f>
        <v>20</v>
      </c>
    </row>
    <row r="218" spans="1:24" x14ac:dyDescent="0.15">
      <c r="A218" s="25" t="s">
        <v>1014</v>
      </c>
      <c r="B218" s="25" t="s">
        <v>692</v>
      </c>
      <c r="C218" s="25" t="s">
        <v>693</v>
      </c>
      <c r="D218" s="25" t="s">
        <v>694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1084</f>
        <v>1084</v>
      </c>
      <c r="L218" s="32" t="s">
        <v>904</v>
      </c>
      <c r="M218" s="31">
        <f>1110</f>
        <v>1110</v>
      </c>
      <c r="N218" s="32" t="s">
        <v>56</v>
      </c>
      <c r="O218" s="31">
        <f>1023</f>
        <v>1023</v>
      </c>
      <c r="P218" s="32" t="s">
        <v>94</v>
      </c>
      <c r="Q218" s="31">
        <f>1035</f>
        <v>1035</v>
      </c>
      <c r="R218" s="32" t="s">
        <v>934</v>
      </c>
      <c r="S218" s="33">
        <f>1071.8</f>
        <v>1071.8</v>
      </c>
      <c r="T218" s="30">
        <f>1756</f>
        <v>1756</v>
      </c>
      <c r="U218" s="30" t="str">
        <f>"－"</f>
        <v>－</v>
      </c>
      <c r="V218" s="30">
        <f>1867665</f>
        <v>1867665</v>
      </c>
      <c r="W218" s="30" t="str">
        <f>"－"</f>
        <v>－</v>
      </c>
      <c r="X218" s="34">
        <f>20</f>
        <v>20</v>
      </c>
    </row>
    <row r="219" spans="1:24" x14ac:dyDescent="0.15">
      <c r="A219" s="25" t="s">
        <v>1014</v>
      </c>
      <c r="B219" s="25" t="s">
        <v>696</v>
      </c>
      <c r="C219" s="25" t="s">
        <v>697</v>
      </c>
      <c r="D219" s="25" t="s">
        <v>698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943.1</f>
        <v>943.1</v>
      </c>
      <c r="L219" s="32" t="s">
        <v>904</v>
      </c>
      <c r="M219" s="31">
        <f>951.2</f>
        <v>951.2</v>
      </c>
      <c r="N219" s="32" t="s">
        <v>695</v>
      </c>
      <c r="O219" s="31">
        <f>880</f>
        <v>880</v>
      </c>
      <c r="P219" s="32" t="s">
        <v>934</v>
      </c>
      <c r="Q219" s="31">
        <f>891.4</f>
        <v>891.4</v>
      </c>
      <c r="R219" s="32" t="s">
        <v>934</v>
      </c>
      <c r="S219" s="33">
        <f>930.48</f>
        <v>930.48</v>
      </c>
      <c r="T219" s="30">
        <f>153300</f>
        <v>153300</v>
      </c>
      <c r="U219" s="30">
        <f>44130</f>
        <v>44130</v>
      </c>
      <c r="V219" s="30">
        <f>140876557</f>
        <v>140876557</v>
      </c>
      <c r="W219" s="30">
        <f>39349436</f>
        <v>39349436</v>
      </c>
      <c r="X219" s="34">
        <f>20</f>
        <v>20</v>
      </c>
    </row>
    <row r="220" spans="1:24" x14ac:dyDescent="0.15">
      <c r="A220" s="25" t="s">
        <v>1014</v>
      </c>
      <c r="B220" s="25" t="s">
        <v>699</v>
      </c>
      <c r="C220" s="25" t="s">
        <v>700</v>
      </c>
      <c r="D220" s="25" t="s">
        <v>701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1206</f>
        <v>1206</v>
      </c>
      <c r="L220" s="32" t="s">
        <v>904</v>
      </c>
      <c r="M220" s="31">
        <f>1221</f>
        <v>1221</v>
      </c>
      <c r="N220" s="32" t="s">
        <v>56</v>
      </c>
      <c r="O220" s="31">
        <f>1098</f>
        <v>1098</v>
      </c>
      <c r="P220" s="32" t="s">
        <v>934</v>
      </c>
      <c r="Q220" s="31">
        <f>1105</f>
        <v>1105</v>
      </c>
      <c r="R220" s="32" t="s">
        <v>934</v>
      </c>
      <c r="S220" s="33">
        <f>1170.63</f>
        <v>1170.6300000000001</v>
      </c>
      <c r="T220" s="30">
        <f>114030</f>
        <v>114030</v>
      </c>
      <c r="U220" s="30">
        <f>28780</f>
        <v>28780</v>
      </c>
      <c r="V220" s="30">
        <f>130414640</f>
        <v>130414640</v>
      </c>
      <c r="W220" s="30">
        <f>31706580</f>
        <v>31706580</v>
      </c>
      <c r="X220" s="34">
        <f>20</f>
        <v>20</v>
      </c>
    </row>
    <row r="221" spans="1:24" x14ac:dyDescent="0.15">
      <c r="A221" s="25" t="s">
        <v>1014</v>
      </c>
      <c r="B221" s="25" t="s">
        <v>702</v>
      </c>
      <c r="C221" s="25" t="s">
        <v>703</v>
      </c>
      <c r="D221" s="25" t="s">
        <v>704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1353</f>
        <v>1353</v>
      </c>
      <c r="L221" s="32" t="s">
        <v>904</v>
      </c>
      <c r="M221" s="31">
        <f>1416.5</f>
        <v>1416.5</v>
      </c>
      <c r="N221" s="32" t="s">
        <v>56</v>
      </c>
      <c r="O221" s="31">
        <f>1234</f>
        <v>1234</v>
      </c>
      <c r="P221" s="32" t="s">
        <v>94</v>
      </c>
      <c r="Q221" s="31">
        <f>1244.5</f>
        <v>1244.5</v>
      </c>
      <c r="R221" s="32" t="s">
        <v>934</v>
      </c>
      <c r="S221" s="33">
        <f>1330.2</f>
        <v>1330.2</v>
      </c>
      <c r="T221" s="30">
        <f>13352890</f>
        <v>13352890</v>
      </c>
      <c r="U221" s="30">
        <f>6627440</f>
        <v>6627440</v>
      </c>
      <c r="V221" s="30">
        <f>17640753555</f>
        <v>17640753555</v>
      </c>
      <c r="W221" s="30">
        <f>8755176920</f>
        <v>8755176920</v>
      </c>
      <c r="X221" s="34">
        <f>20</f>
        <v>20</v>
      </c>
    </row>
    <row r="222" spans="1:24" x14ac:dyDescent="0.15">
      <c r="A222" s="25" t="s">
        <v>1014</v>
      </c>
      <c r="B222" s="25" t="s">
        <v>705</v>
      </c>
      <c r="C222" s="25" t="s">
        <v>706</v>
      </c>
      <c r="D222" s="25" t="s">
        <v>707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3530</f>
        <v>3530</v>
      </c>
      <c r="L222" s="32" t="s">
        <v>904</v>
      </c>
      <c r="M222" s="31">
        <f>3745</f>
        <v>3745</v>
      </c>
      <c r="N222" s="32" t="s">
        <v>56</v>
      </c>
      <c r="O222" s="31">
        <f>3200</f>
        <v>3200</v>
      </c>
      <c r="P222" s="32" t="s">
        <v>266</v>
      </c>
      <c r="Q222" s="31">
        <f>3235</f>
        <v>3235</v>
      </c>
      <c r="R222" s="32" t="s">
        <v>934</v>
      </c>
      <c r="S222" s="33">
        <f>3460.5</f>
        <v>3460.5</v>
      </c>
      <c r="T222" s="30">
        <f>247730</f>
        <v>247730</v>
      </c>
      <c r="U222" s="30">
        <f>150000</f>
        <v>150000</v>
      </c>
      <c r="V222" s="30">
        <f>819084920</f>
        <v>819084920</v>
      </c>
      <c r="W222" s="30">
        <f>489886485</f>
        <v>489886485</v>
      </c>
      <c r="X222" s="34">
        <f>20</f>
        <v>20</v>
      </c>
    </row>
    <row r="223" spans="1:24" x14ac:dyDescent="0.15">
      <c r="A223" s="25" t="s">
        <v>1014</v>
      </c>
      <c r="B223" s="25" t="s">
        <v>708</v>
      </c>
      <c r="C223" s="25" t="s">
        <v>709</v>
      </c>
      <c r="D223" s="25" t="s">
        <v>710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1645.5</f>
        <v>1645.5</v>
      </c>
      <c r="L223" s="32" t="s">
        <v>904</v>
      </c>
      <c r="M223" s="31">
        <f>1667.5</f>
        <v>1667.5</v>
      </c>
      <c r="N223" s="32" t="s">
        <v>56</v>
      </c>
      <c r="O223" s="31">
        <f>1545</f>
        <v>1545</v>
      </c>
      <c r="P223" s="32" t="s">
        <v>934</v>
      </c>
      <c r="Q223" s="31">
        <f>1545</f>
        <v>1545</v>
      </c>
      <c r="R223" s="32" t="s">
        <v>934</v>
      </c>
      <c r="S223" s="33">
        <f>1617.5</f>
        <v>1617.5</v>
      </c>
      <c r="T223" s="30">
        <f>3470</f>
        <v>3470</v>
      </c>
      <c r="U223" s="30" t="str">
        <f>"－"</f>
        <v>－</v>
      </c>
      <c r="V223" s="30">
        <f>5631350</f>
        <v>5631350</v>
      </c>
      <c r="W223" s="30" t="str">
        <f>"－"</f>
        <v>－</v>
      </c>
      <c r="X223" s="34">
        <f>18</f>
        <v>18</v>
      </c>
    </row>
    <row r="224" spans="1:24" x14ac:dyDescent="0.15">
      <c r="A224" s="25" t="s">
        <v>1014</v>
      </c>
      <c r="B224" s="25" t="s">
        <v>711</v>
      </c>
      <c r="C224" s="25" t="s">
        <v>712</v>
      </c>
      <c r="D224" s="25" t="s">
        <v>713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1952.5</f>
        <v>1952.5</v>
      </c>
      <c r="L224" s="32" t="s">
        <v>909</v>
      </c>
      <c r="M224" s="31">
        <f>2013.5</f>
        <v>2013.5</v>
      </c>
      <c r="N224" s="32" t="s">
        <v>56</v>
      </c>
      <c r="O224" s="31">
        <f>1888</f>
        <v>1888</v>
      </c>
      <c r="P224" s="32" t="s">
        <v>934</v>
      </c>
      <c r="Q224" s="31">
        <f>1888</f>
        <v>1888</v>
      </c>
      <c r="R224" s="32" t="s">
        <v>934</v>
      </c>
      <c r="S224" s="33">
        <f>1956.32</f>
        <v>1956.32</v>
      </c>
      <c r="T224" s="30">
        <f>268320</f>
        <v>268320</v>
      </c>
      <c r="U224" s="30" t="str">
        <f>"－"</f>
        <v>－</v>
      </c>
      <c r="V224" s="30">
        <f>513210290</f>
        <v>513210290</v>
      </c>
      <c r="W224" s="30" t="str">
        <f>"－"</f>
        <v>－</v>
      </c>
      <c r="X224" s="34">
        <f>14</f>
        <v>14</v>
      </c>
    </row>
    <row r="225" spans="1:24" x14ac:dyDescent="0.15">
      <c r="A225" s="25" t="s">
        <v>1014</v>
      </c>
      <c r="B225" s="25" t="s">
        <v>714</v>
      </c>
      <c r="C225" s="25" t="s">
        <v>715</v>
      </c>
      <c r="D225" s="25" t="s">
        <v>716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27875</f>
        <v>27875</v>
      </c>
      <c r="L225" s="32" t="s">
        <v>904</v>
      </c>
      <c r="M225" s="31">
        <f>28840</f>
        <v>28840</v>
      </c>
      <c r="N225" s="32" t="s">
        <v>56</v>
      </c>
      <c r="O225" s="31">
        <f>26500</f>
        <v>26500</v>
      </c>
      <c r="P225" s="32" t="s">
        <v>94</v>
      </c>
      <c r="Q225" s="31">
        <f>26685</f>
        <v>26685</v>
      </c>
      <c r="R225" s="32" t="s">
        <v>934</v>
      </c>
      <c r="S225" s="33">
        <f>27615.33</f>
        <v>27615.33</v>
      </c>
      <c r="T225" s="30">
        <f>146222</f>
        <v>146222</v>
      </c>
      <c r="U225" s="30">
        <f>135539</f>
        <v>135539</v>
      </c>
      <c r="V225" s="30">
        <f>4124978880</f>
        <v>4124978880</v>
      </c>
      <c r="W225" s="30">
        <f>3839051995</f>
        <v>3839051995</v>
      </c>
      <c r="X225" s="34">
        <f>15</f>
        <v>15</v>
      </c>
    </row>
    <row r="226" spans="1:24" x14ac:dyDescent="0.15">
      <c r="A226" s="25" t="s">
        <v>1014</v>
      </c>
      <c r="B226" s="25" t="s">
        <v>717</v>
      </c>
      <c r="C226" s="25" t="s">
        <v>718</v>
      </c>
      <c r="D226" s="25" t="s">
        <v>719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17685</f>
        <v>17685</v>
      </c>
      <c r="L226" s="32" t="s">
        <v>904</v>
      </c>
      <c r="M226" s="31">
        <f>18045</f>
        <v>18045</v>
      </c>
      <c r="N226" s="32" t="s">
        <v>911</v>
      </c>
      <c r="O226" s="31">
        <f>16970</f>
        <v>16970</v>
      </c>
      <c r="P226" s="32" t="s">
        <v>266</v>
      </c>
      <c r="Q226" s="31">
        <f>16970</f>
        <v>16970</v>
      </c>
      <c r="R226" s="32" t="s">
        <v>266</v>
      </c>
      <c r="S226" s="33">
        <f>17556.11</f>
        <v>17556.11</v>
      </c>
      <c r="T226" s="30">
        <f>7797</f>
        <v>7797</v>
      </c>
      <c r="U226" s="30" t="str">
        <f>"－"</f>
        <v>－</v>
      </c>
      <c r="V226" s="30">
        <f>140076820</f>
        <v>140076820</v>
      </c>
      <c r="W226" s="30" t="str">
        <f>"－"</f>
        <v>－</v>
      </c>
      <c r="X226" s="34">
        <f>9</f>
        <v>9</v>
      </c>
    </row>
    <row r="227" spans="1:24" x14ac:dyDescent="0.15">
      <c r="A227" s="25" t="s">
        <v>1014</v>
      </c>
      <c r="B227" s="25" t="s">
        <v>720</v>
      </c>
      <c r="C227" s="25" t="s">
        <v>721</v>
      </c>
      <c r="D227" s="25" t="s">
        <v>722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1200</f>
        <v>1200</v>
      </c>
      <c r="L227" s="32" t="s">
        <v>909</v>
      </c>
      <c r="M227" s="31">
        <f>1203</f>
        <v>1203</v>
      </c>
      <c r="N227" s="32" t="s">
        <v>87</v>
      </c>
      <c r="O227" s="31">
        <f>1142</f>
        <v>1142</v>
      </c>
      <c r="P227" s="32" t="s">
        <v>94</v>
      </c>
      <c r="Q227" s="31">
        <f>1142</f>
        <v>1142</v>
      </c>
      <c r="R227" s="32" t="s">
        <v>94</v>
      </c>
      <c r="S227" s="33">
        <f>1188</f>
        <v>1188</v>
      </c>
      <c r="T227" s="30">
        <f>456050</f>
        <v>456050</v>
      </c>
      <c r="U227" s="30">
        <f>357000</f>
        <v>357000</v>
      </c>
      <c r="V227" s="30">
        <f>546735085</f>
        <v>546735085</v>
      </c>
      <c r="W227" s="30">
        <f>428222000</f>
        <v>428222000</v>
      </c>
      <c r="X227" s="34">
        <f>6</f>
        <v>6</v>
      </c>
    </row>
    <row r="228" spans="1:24" x14ac:dyDescent="0.15">
      <c r="A228" s="25" t="s">
        <v>1014</v>
      </c>
      <c r="B228" s="25" t="s">
        <v>723</v>
      </c>
      <c r="C228" s="25" t="s">
        <v>724</v>
      </c>
      <c r="D228" s="25" t="s">
        <v>725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1203.5</f>
        <v>1203.5</v>
      </c>
      <c r="L228" s="32" t="s">
        <v>904</v>
      </c>
      <c r="M228" s="31">
        <f>1203.5</f>
        <v>1203.5</v>
      </c>
      <c r="N228" s="32" t="s">
        <v>904</v>
      </c>
      <c r="O228" s="31">
        <f>1125</f>
        <v>1125</v>
      </c>
      <c r="P228" s="32" t="s">
        <v>94</v>
      </c>
      <c r="Q228" s="31">
        <f>1151</f>
        <v>1151</v>
      </c>
      <c r="R228" s="32" t="s">
        <v>934</v>
      </c>
      <c r="S228" s="33">
        <f>1181.85</f>
        <v>1181.8499999999999</v>
      </c>
      <c r="T228" s="30">
        <f>196850</f>
        <v>196850</v>
      </c>
      <c r="U228" s="30">
        <f>172600</f>
        <v>172600</v>
      </c>
      <c r="V228" s="30">
        <f>228923985</f>
        <v>228923985</v>
      </c>
      <c r="W228" s="30">
        <f>199991620</f>
        <v>199991620</v>
      </c>
      <c r="X228" s="34">
        <f>20</f>
        <v>20</v>
      </c>
    </row>
    <row r="229" spans="1:24" x14ac:dyDescent="0.15">
      <c r="A229" s="25" t="s">
        <v>1014</v>
      </c>
      <c r="B229" s="25" t="s">
        <v>726</v>
      </c>
      <c r="C229" s="25" t="s">
        <v>727</v>
      </c>
      <c r="D229" s="25" t="s">
        <v>728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1251</f>
        <v>1251</v>
      </c>
      <c r="L229" s="32" t="s">
        <v>904</v>
      </c>
      <c r="M229" s="31">
        <f>1261</f>
        <v>1261</v>
      </c>
      <c r="N229" s="32" t="s">
        <v>56</v>
      </c>
      <c r="O229" s="31">
        <f>1170</f>
        <v>1170</v>
      </c>
      <c r="P229" s="32" t="s">
        <v>94</v>
      </c>
      <c r="Q229" s="31">
        <f>1190</f>
        <v>1190</v>
      </c>
      <c r="R229" s="32" t="s">
        <v>934</v>
      </c>
      <c r="S229" s="33">
        <f>1229.85</f>
        <v>1229.8499999999999</v>
      </c>
      <c r="T229" s="30">
        <f>173468</f>
        <v>173468</v>
      </c>
      <c r="U229" s="30">
        <f>32786</f>
        <v>32786</v>
      </c>
      <c r="V229" s="30">
        <f>211808675</f>
        <v>211808675</v>
      </c>
      <c r="W229" s="30">
        <f>40012662</f>
        <v>40012662</v>
      </c>
      <c r="X229" s="34">
        <f>20</f>
        <v>20</v>
      </c>
    </row>
    <row r="230" spans="1:24" x14ac:dyDescent="0.15">
      <c r="A230" s="25" t="s">
        <v>1014</v>
      </c>
      <c r="B230" s="25" t="s">
        <v>729</v>
      </c>
      <c r="C230" s="25" t="s">
        <v>730</v>
      </c>
      <c r="D230" s="25" t="s">
        <v>731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13530</f>
        <v>13530</v>
      </c>
      <c r="L230" s="32" t="s">
        <v>904</v>
      </c>
      <c r="M230" s="31">
        <f>14250</f>
        <v>14250</v>
      </c>
      <c r="N230" s="32" t="s">
        <v>813</v>
      </c>
      <c r="O230" s="31">
        <f>12970</f>
        <v>12970</v>
      </c>
      <c r="P230" s="32" t="s">
        <v>936</v>
      </c>
      <c r="Q230" s="31">
        <f>13245</f>
        <v>13245</v>
      </c>
      <c r="R230" s="32" t="s">
        <v>934</v>
      </c>
      <c r="S230" s="33">
        <f>13726.75</f>
        <v>13726.75</v>
      </c>
      <c r="T230" s="30">
        <f>1339</f>
        <v>1339</v>
      </c>
      <c r="U230" s="30" t="str">
        <f>"－"</f>
        <v>－</v>
      </c>
      <c r="V230" s="30">
        <f>18338665</f>
        <v>18338665</v>
      </c>
      <c r="W230" s="30" t="str">
        <f>"－"</f>
        <v>－</v>
      </c>
      <c r="X230" s="34">
        <f>20</f>
        <v>20</v>
      </c>
    </row>
    <row r="231" spans="1:24" x14ac:dyDescent="0.15">
      <c r="A231" s="25" t="s">
        <v>1014</v>
      </c>
      <c r="B231" s="25" t="s">
        <v>732</v>
      </c>
      <c r="C231" s="25" t="s">
        <v>733</v>
      </c>
      <c r="D231" s="25" t="s">
        <v>734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2187</f>
        <v>2187</v>
      </c>
      <c r="L231" s="32" t="s">
        <v>904</v>
      </c>
      <c r="M231" s="31">
        <f>2197</f>
        <v>2197</v>
      </c>
      <c r="N231" s="32" t="s">
        <v>80</v>
      </c>
      <c r="O231" s="31">
        <f>2046</f>
        <v>2046</v>
      </c>
      <c r="P231" s="32" t="s">
        <v>94</v>
      </c>
      <c r="Q231" s="31">
        <f>2096</f>
        <v>2096</v>
      </c>
      <c r="R231" s="32" t="s">
        <v>934</v>
      </c>
      <c r="S231" s="33">
        <f>2155.3</f>
        <v>2155.3000000000002</v>
      </c>
      <c r="T231" s="30">
        <f>1585757</f>
        <v>1585757</v>
      </c>
      <c r="U231" s="30">
        <f>1566800</f>
        <v>1566800</v>
      </c>
      <c r="V231" s="30">
        <f>3373214994</f>
        <v>3373214994</v>
      </c>
      <c r="W231" s="30">
        <f>3332340720</f>
        <v>3332340720</v>
      </c>
      <c r="X231" s="34">
        <f>20</f>
        <v>20</v>
      </c>
    </row>
    <row r="232" spans="1:24" x14ac:dyDescent="0.15">
      <c r="A232" s="25" t="s">
        <v>1014</v>
      </c>
      <c r="B232" s="25" t="s">
        <v>735</v>
      </c>
      <c r="C232" s="25" t="s">
        <v>736</v>
      </c>
      <c r="D232" s="25" t="s">
        <v>737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2070.5</f>
        <v>2070.5</v>
      </c>
      <c r="L232" s="32" t="s">
        <v>904</v>
      </c>
      <c r="M232" s="31">
        <f>2070.5</f>
        <v>2070.5</v>
      </c>
      <c r="N232" s="32" t="s">
        <v>904</v>
      </c>
      <c r="O232" s="31">
        <f>1570.5</f>
        <v>1570.5</v>
      </c>
      <c r="P232" s="32" t="s">
        <v>266</v>
      </c>
      <c r="Q232" s="31">
        <f>1576</f>
        <v>1576</v>
      </c>
      <c r="R232" s="32" t="s">
        <v>934</v>
      </c>
      <c r="S232" s="33">
        <f>1682.26</f>
        <v>1682.26</v>
      </c>
      <c r="T232" s="30">
        <f>7580</f>
        <v>7580</v>
      </c>
      <c r="U232" s="30" t="str">
        <f>"－"</f>
        <v>－</v>
      </c>
      <c r="V232" s="30">
        <f>13084900</f>
        <v>13084900</v>
      </c>
      <c r="W232" s="30" t="str">
        <f>"－"</f>
        <v>－</v>
      </c>
      <c r="X232" s="34">
        <f>19</f>
        <v>19</v>
      </c>
    </row>
    <row r="233" spans="1:24" x14ac:dyDescent="0.15">
      <c r="A233" s="25" t="s">
        <v>1014</v>
      </c>
      <c r="B233" s="25" t="s">
        <v>738</v>
      </c>
      <c r="C233" s="25" t="s">
        <v>822</v>
      </c>
      <c r="D233" s="25" t="s">
        <v>823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882.9</f>
        <v>882.9</v>
      </c>
      <c r="L233" s="32" t="s">
        <v>904</v>
      </c>
      <c r="M233" s="31">
        <f>882.9</f>
        <v>882.9</v>
      </c>
      <c r="N233" s="32" t="s">
        <v>904</v>
      </c>
      <c r="O233" s="31">
        <f>835</f>
        <v>835</v>
      </c>
      <c r="P233" s="32" t="s">
        <v>94</v>
      </c>
      <c r="Q233" s="31">
        <f>840.5</f>
        <v>840.5</v>
      </c>
      <c r="R233" s="32" t="s">
        <v>934</v>
      </c>
      <c r="S233" s="33">
        <f>862.07</f>
        <v>862.07</v>
      </c>
      <c r="T233" s="30">
        <f>960130</f>
        <v>960130</v>
      </c>
      <c r="U233" s="30">
        <f>882190</f>
        <v>882190</v>
      </c>
      <c r="V233" s="30">
        <f>822492021</f>
        <v>822492021</v>
      </c>
      <c r="W233" s="30">
        <f>755581075</f>
        <v>755581075</v>
      </c>
      <c r="X233" s="34">
        <f>20</f>
        <v>20</v>
      </c>
    </row>
    <row r="234" spans="1:24" x14ac:dyDescent="0.15">
      <c r="A234" s="25" t="s">
        <v>1014</v>
      </c>
      <c r="B234" s="25" t="s">
        <v>739</v>
      </c>
      <c r="C234" s="25" t="s">
        <v>740</v>
      </c>
      <c r="D234" s="25" t="s">
        <v>741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2076</f>
        <v>2076</v>
      </c>
      <c r="L234" s="32" t="s">
        <v>904</v>
      </c>
      <c r="M234" s="31">
        <f>2091</f>
        <v>2091</v>
      </c>
      <c r="N234" s="32" t="s">
        <v>813</v>
      </c>
      <c r="O234" s="31">
        <f>1992.5</f>
        <v>1992.5</v>
      </c>
      <c r="P234" s="32" t="s">
        <v>936</v>
      </c>
      <c r="Q234" s="31">
        <f>2080</f>
        <v>2080</v>
      </c>
      <c r="R234" s="32" t="s">
        <v>934</v>
      </c>
      <c r="S234" s="33">
        <f>2065.13</f>
        <v>2065.13</v>
      </c>
      <c r="T234" s="30">
        <f>29490</f>
        <v>29490</v>
      </c>
      <c r="U234" s="30">
        <f>24000</f>
        <v>24000</v>
      </c>
      <c r="V234" s="30">
        <f>61021950</f>
        <v>61021950</v>
      </c>
      <c r="W234" s="30">
        <f>49672800</f>
        <v>49672800</v>
      </c>
      <c r="X234" s="34">
        <f>20</f>
        <v>20</v>
      </c>
    </row>
    <row r="235" spans="1:24" x14ac:dyDescent="0.15">
      <c r="A235" s="25" t="s">
        <v>1014</v>
      </c>
      <c r="B235" s="25" t="s">
        <v>742</v>
      </c>
      <c r="C235" s="25" t="s">
        <v>743</v>
      </c>
      <c r="D235" s="25" t="s">
        <v>744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2091.5</f>
        <v>2091.5</v>
      </c>
      <c r="L235" s="32" t="s">
        <v>904</v>
      </c>
      <c r="M235" s="31">
        <f>2100</f>
        <v>2100</v>
      </c>
      <c r="N235" s="32" t="s">
        <v>911</v>
      </c>
      <c r="O235" s="31">
        <f>1959</f>
        <v>1959</v>
      </c>
      <c r="P235" s="32" t="s">
        <v>94</v>
      </c>
      <c r="Q235" s="31">
        <f>1999.5</f>
        <v>1999.5</v>
      </c>
      <c r="R235" s="32" t="s">
        <v>934</v>
      </c>
      <c r="S235" s="33">
        <f>2055.2</f>
        <v>2055.1999999999998</v>
      </c>
      <c r="T235" s="30">
        <f>999450</f>
        <v>999450</v>
      </c>
      <c r="U235" s="30">
        <f>723040</f>
        <v>723040</v>
      </c>
      <c r="V235" s="30">
        <f>2057976277</f>
        <v>2057976277</v>
      </c>
      <c r="W235" s="30">
        <f>1491695927</f>
        <v>1491695927</v>
      </c>
      <c r="X235" s="34">
        <f>20</f>
        <v>20</v>
      </c>
    </row>
    <row r="236" spans="1:24" x14ac:dyDescent="0.15">
      <c r="A236" s="25" t="s">
        <v>1014</v>
      </c>
      <c r="B236" s="25" t="s">
        <v>745</v>
      </c>
      <c r="C236" s="25" t="s">
        <v>746</v>
      </c>
      <c r="D236" s="25" t="s">
        <v>747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1952.5</f>
        <v>1952.5</v>
      </c>
      <c r="L236" s="32" t="s">
        <v>904</v>
      </c>
      <c r="M236" s="31">
        <f>1997</f>
        <v>1997</v>
      </c>
      <c r="N236" s="32" t="s">
        <v>56</v>
      </c>
      <c r="O236" s="31">
        <f>1854</f>
        <v>1854</v>
      </c>
      <c r="P236" s="32" t="s">
        <v>94</v>
      </c>
      <c r="Q236" s="31">
        <f>1867.5</f>
        <v>1867.5</v>
      </c>
      <c r="R236" s="32" t="s">
        <v>934</v>
      </c>
      <c r="S236" s="33">
        <f>1933.5</f>
        <v>1933.5</v>
      </c>
      <c r="T236" s="30">
        <f>140990</f>
        <v>140990</v>
      </c>
      <c r="U236" s="30">
        <f>107280</f>
        <v>107280</v>
      </c>
      <c r="V236" s="30">
        <f>271615875</f>
        <v>271615875</v>
      </c>
      <c r="W236" s="30">
        <f>207747360</f>
        <v>207747360</v>
      </c>
      <c r="X236" s="34">
        <f>17</f>
        <v>17</v>
      </c>
    </row>
    <row r="237" spans="1:24" x14ac:dyDescent="0.15">
      <c r="A237" s="25" t="s">
        <v>1014</v>
      </c>
      <c r="B237" s="25" t="s">
        <v>748</v>
      </c>
      <c r="C237" s="25" t="s">
        <v>749</v>
      </c>
      <c r="D237" s="25" t="s">
        <v>750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15780</f>
        <v>15780</v>
      </c>
      <c r="L237" s="32" t="s">
        <v>904</v>
      </c>
      <c r="M237" s="31">
        <f>16910</f>
        <v>16910</v>
      </c>
      <c r="N237" s="32" t="s">
        <v>56</v>
      </c>
      <c r="O237" s="31">
        <f>15055</f>
        <v>15055</v>
      </c>
      <c r="P237" s="32" t="s">
        <v>94</v>
      </c>
      <c r="Q237" s="31">
        <f>15150</f>
        <v>15150</v>
      </c>
      <c r="R237" s="32" t="s">
        <v>934</v>
      </c>
      <c r="S237" s="33">
        <f>15957.75</f>
        <v>15957.75</v>
      </c>
      <c r="T237" s="30">
        <f>988290</f>
        <v>988290</v>
      </c>
      <c r="U237" s="30">
        <f>31662</f>
        <v>31662</v>
      </c>
      <c r="V237" s="30">
        <f>15720237952</f>
        <v>15720237952</v>
      </c>
      <c r="W237" s="30">
        <f>500296602</f>
        <v>500296602</v>
      </c>
      <c r="X237" s="34">
        <f>20</f>
        <v>20</v>
      </c>
    </row>
    <row r="238" spans="1:24" x14ac:dyDescent="0.15">
      <c r="A238" s="25" t="s">
        <v>1014</v>
      </c>
      <c r="B238" s="25" t="s">
        <v>751</v>
      </c>
      <c r="C238" s="25" t="s">
        <v>752</v>
      </c>
      <c r="D238" s="25" t="s">
        <v>753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14060</f>
        <v>14060</v>
      </c>
      <c r="L238" s="32" t="s">
        <v>904</v>
      </c>
      <c r="M238" s="31">
        <f>14845</f>
        <v>14845</v>
      </c>
      <c r="N238" s="32" t="s">
        <v>56</v>
      </c>
      <c r="O238" s="31">
        <f>13445</f>
        <v>13445</v>
      </c>
      <c r="P238" s="32" t="s">
        <v>94</v>
      </c>
      <c r="Q238" s="31">
        <f>13545</f>
        <v>13545</v>
      </c>
      <c r="R238" s="32" t="s">
        <v>934</v>
      </c>
      <c r="S238" s="33">
        <f>14121.75</f>
        <v>14121.75</v>
      </c>
      <c r="T238" s="30">
        <f>218999</f>
        <v>218999</v>
      </c>
      <c r="U238" s="30" t="str">
        <f>"－"</f>
        <v>－</v>
      </c>
      <c r="V238" s="30">
        <f>3050462620</f>
        <v>3050462620</v>
      </c>
      <c r="W238" s="30" t="str">
        <f>"－"</f>
        <v>－</v>
      </c>
      <c r="X238" s="34">
        <f>20</f>
        <v>20</v>
      </c>
    </row>
    <row r="239" spans="1:24" x14ac:dyDescent="0.15">
      <c r="A239" s="25" t="s">
        <v>1014</v>
      </c>
      <c r="B239" s="25" t="s">
        <v>754</v>
      </c>
      <c r="C239" s="25" t="s">
        <v>755</v>
      </c>
      <c r="D239" s="25" t="s">
        <v>756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25660</f>
        <v>25660</v>
      </c>
      <c r="L239" s="32" t="s">
        <v>909</v>
      </c>
      <c r="M239" s="31">
        <f>26415</f>
        <v>26415</v>
      </c>
      <c r="N239" s="32" t="s">
        <v>56</v>
      </c>
      <c r="O239" s="31">
        <f>24840</f>
        <v>24840</v>
      </c>
      <c r="P239" s="32" t="s">
        <v>812</v>
      </c>
      <c r="Q239" s="31">
        <f>25020</f>
        <v>25020</v>
      </c>
      <c r="R239" s="32" t="s">
        <v>266</v>
      </c>
      <c r="S239" s="33">
        <f>25657.73</f>
        <v>25657.73</v>
      </c>
      <c r="T239" s="30">
        <f>144</f>
        <v>144</v>
      </c>
      <c r="U239" s="30" t="str">
        <f>"－"</f>
        <v>－</v>
      </c>
      <c r="V239" s="30">
        <f>3726150</f>
        <v>3726150</v>
      </c>
      <c r="W239" s="30" t="str">
        <f>"－"</f>
        <v>－</v>
      </c>
      <c r="X239" s="34">
        <f>11</f>
        <v>11</v>
      </c>
    </row>
    <row r="240" spans="1:24" x14ac:dyDescent="0.15">
      <c r="A240" s="25" t="s">
        <v>1014</v>
      </c>
      <c r="B240" s="25" t="s">
        <v>757</v>
      </c>
      <c r="C240" s="25" t="s">
        <v>758</v>
      </c>
      <c r="D240" s="25" t="s">
        <v>759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2588</f>
        <v>2588</v>
      </c>
      <c r="L240" s="32" t="s">
        <v>904</v>
      </c>
      <c r="M240" s="31">
        <f>2588</f>
        <v>2588</v>
      </c>
      <c r="N240" s="32" t="s">
        <v>904</v>
      </c>
      <c r="O240" s="31">
        <f>2533</f>
        <v>2533</v>
      </c>
      <c r="P240" s="32" t="s">
        <v>94</v>
      </c>
      <c r="Q240" s="31">
        <f>2549</f>
        <v>2549</v>
      </c>
      <c r="R240" s="32" t="s">
        <v>934</v>
      </c>
      <c r="S240" s="33">
        <f>2562.4</f>
        <v>2562.4</v>
      </c>
      <c r="T240" s="30">
        <f>1551202</f>
        <v>1551202</v>
      </c>
      <c r="U240" s="30">
        <f>1059628</f>
        <v>1059628</v>
      </c>
      <c r="V240" s="30">
        <f>3982075773</f>
        <v>3982075773</v>
      </c>
      <c r="W240" s="30">
        <f>2719173773</f>
        <v>2719173773</v>
      </c>
      <c r="X240" s="34">
        <f>20</f>
        <v>20</v>
      </c>
    </row>
    <row r="241" spans="1:24" x14ac:dyDescent="0.15">
      <c r="A241" s="25" t="s">
        <v>1014</v>
      </c>
      <c r="B241" s="25" t="s">
        <v>760</v>
      </c>
      <c r="C241" s="25" t="s">
        <v>761</v>
      </c>
      <c r="D241" s="25" t="s">
        <v>762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2684</f>
        <v>2684</v>
      </c>
      <c r="L241" s="32" t="s">
        <v>904</v>
      </c>
      <c r="M241" s="31">
        <f>2763.5</f>
        <v>2763.5</v>
      </c>
      <c r="N241" s="32" t="s">
        <v>56</v>
      </c>
      <c r="O241" s="31">
        <f>2440.5</f>
        <v>2440.5</v>
      </c>
      <c r="P241" s="32" t="s">
        <v>94</v>
      </c>
      <c r="Q241" s="31">
        <f>2473.5</f>
        <v>2473.5</v>
      </c>
      <c r="R241" s="32" t="s">
        <v>934</v>
      </c>
      <c r="S241" s="33">
        <f>2620.08</f>
        <v>2620.08</v>
      </c>
      <c r="T241" s="30">
        <f>2215820</f>
        <v>2215820</v>
      </c>
      <c r="U241" s="30">
        <f>1231300</f>
        <v>1231300</v>
      </c>
      <c r="V241" s="30">
        <f>5714050321</f>
        <v>5714050321</v>
      </c>
      <c r="W241" s="30">
        <f>3173102801</f>
        <v>3173102801</v>
      </c>
      <c r="X241" s="34">
        <f>20</f>
        <v>20</v>
      </c>
    </row>
    <row r="242" spans="1:24" x14ac:dyDescent="0.15">
      <c r="A242" s="25" t="s">
        <v>1014</v>
      </c>
      <c r="B242" s="25" t="s">
        <v>763</v>
      </c>
      <c r="C242" s="25" t="s">
        <v>764</v>
      </c>
      <c r="D242" s="25" t="s">
        <v>765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250.9</f>
        <v>250.9</v>
      </c>
      <c r="L242" s="32" t="s">
        <v>904</v>
      </c>
      <c r="M242" s="31">
        <f>262.9</f>
        <v>262.89999999999998</v>
      </c>
      <c r="N242" s="32" t="s">
        <v>56</v>
      </c>
      <c r="O242" s="31">
        <f>228.8</f>
        <v>228.8</v>
      </c>
      <c r="P242" s="32" t="s">
        <v>94</v>
      </c>
      <c r="Q242" s="31">
        <f>230.8</f>
        <v>230.8</v>
      </c>
      <c r="R242" s="32" t="s">
        <v>934</v>
      </c>
      <c r="S242" s="33">
        <f>246.6</f>
        <v>246.6</v>
      </c>
      <c r="T242" s="30">
        <f>52530870</f>
        <v>52530870</v>
      </c>
      <c r="U242" s="30">
        <f>14881030</f>
        <v>14881030</v>
      </c>
      <c r="V242" s="30">
        <f>12665730159</f>
        <v>12665730159</v>
      </c>
      <c r="W242" s="30">
        <f>3533888039</f>
        <v>3533888039</v>
      </c>
      <c r="X242" s="34">
        <f>20</f>
        <v>20</v>
      </c>
    </row>
    <row r="243" spans="1:24" x14ac:dyDescent="0.15">
      <c r="A243" s="25" t="s">
        <v>1014</v>
      </c>
      <c r="B243" s="25" t="s">
        <v>766</v>
      </c>
      <c r="C243" s="25" t="s">
        <v>767</v>
      </c>
      <c r="D243" s="25" t="s">
        <v>768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2052</f>
        <v>2052</v>
      </c>
      <c r="L243" s="32" t="s">
        <v>904</v>
      </c>
      <c r="M243" s="31">
        <f>2075</f>
        <v>2075</v>
      </c>
      <c r="N243" s="32" t="s">
        <v>813</v>
      </c>
      <c r="O243" s="31">
        <f>1934</f>
        <v>1934</v>
      </c>
      <c r="P243" s="32" t="s">
        <v>934</v>
      </c>
      <c r="Q243" s="31">
        <f>1940</f>
        <v>1940</v>
      </c>
      <c r="R243" s="32" t="s">
        <v>934</v>
      </c>
      <c r="S243" s="33">
        <f>2022.8</f>
        <v>2022.8</v>
      </c>
      <c r="T243" s="30">
        <f>246026</f>
        <v>246026</v>
      </c>
      <c r="U243" s="30">
        <f>9943</f>
        <v>9943</v>
      </c>
      <c r="V243" s="30">
        <f>497710232</f>
        <v>497710232</v>
      </c>
      <c r="W243" s="30">
        <f>20053167</f>
        <v>20053167</v>
      </c>
      <c r="X243" s="34">
        <f>20</f>
        <v>20</v>
      </c>
    </row>
    <row r="244" spans="1:24" x14ac:dyDescent="0.15">
      <c r="A244" s="25" t="s">
        <v>1014</v>
      </c>
      <c r="B244" s="25" t="s">
        <v>769</v>
      </c>
      <c r="C244" s="25" t="s">
        <v>770</v>
      </c>
      <c r="D244" s="25" t="s">
        <v>771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1132</f>
        <v>1132</v>
      </c>
      <c r="L244" s="32" t="s">
        <v>904</v>
      </c>
      <c r="M244" s="31">
        <f>1135</f>
        <v>1135</v>
      </c>
      <c r="N244" s="32" t="s">
        <v>56</v>
      </c>
      <c r="O244" s="31">
        <f>1036</f>
        <v>1036</v>
      </c>
      <c r="P244" s="32" t="s">
        <v>934</v>
      </c>
      <c r="Q244" s="31">
        <f>1061</f>
        <v>1061</v>
      </c>
      <c r="R244" s="32" t="s">
        <v>934</v>
      </c>
      <c r="S244" s="33">
        <f>1099.8</f>
        <v>1099.8</v>
      </c>
      <c r="T244" s="30">
        <f>273523</f>
        <v>273523</v>
      </c>
      <c r="U244" s="30">
        <f>190305</f>
        <v>190305</v>
      </c>
      <c r="V244" s="30">
        <f>291825499</f>
        <v>291825499</v>
      </c>
      <c r="W244" s="30">
        <f>200467440</f>
        <v>200467440</v>
      </c>
      <c r="X244" s="34">
        <f>20</f>
        <v>20</v>
      </c>
    </row>
    <row r="245" spans="1:24" x14ac:dyDescent="0.15">
      <c r="A245" s="25" t="s">
        <v>1014</v>
      </c>
      <c r="B245" s="25" t="s">
        <v>772</v>
      </c>
      <c r="C245" s="25" t="s">
        <v>773</v>
      </c>
      <c r="D245" s="25" t="s">
        <v>774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1142</f>
        <v>1142</v>
      </c>
      <c r="L245" s="32" t="s">
        <v>904</v>
      </c>
      <c r="M245" s="31">
        <f>1155.5</f>
        <v>1155.5</v>
      </c>
      <c r="N245" s="32" t="s">
        <v>87</v>
      </c>
      <c r="O245" s="31">
        <f>1084</f>
        <v>1084</v>
      </c>
      <c r="P245" s="32" t="s">
        <v>94</v>
      </c>
      <c r="Q245" s="31">
        <f>1098</f>
        <v>1098</v>
      </c>
      <c r="R245" s="32" t="s">
        <v>934</v>
      </c>
      <c r="S245" s="33">
        <f>1134.24</f>
        <v>1134.24</v>
      </c>
      <c r="T245" s="30">
        <f>1725680</f>
        <v>1725680</v>
      </c>
      <c r="U245" s="30">
        <f>1676200</f>
        <v>1676200</v>
      </c>
      <c r="V245" s="30">
        <f>1958494420</f>
        <v>1958494420</v>
      </c>
      <c r="W245" s="30">
        <f>1902091050</f>
        <v>1902091050</v>
      </c>
      <c r="X245" s="34">
        <f>19</f>
        <v>19</v>
      </c>
    </row>
    <row r="246" spans="1:24" x14ac:dyDescent="0.15">
      <c r="A246" s="25" t="s">
        <v>1014</v>
      </c>
      <c r="B246" s="25" t="s">
        <v>775</v>
      </c>
      <c r="C246" s="25" t="s">
        <v>776</v>
      </c>
      <c r="D246" s="25" t="s">
        <v>777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247</f>
        <v>247</v>
      </c>
      <c r="L246" s="32" t="s">
        <v>904</v>
      </c>
      <c r="M246" s="31">
        <f>249.5</f>
        <v>249.5</v>
      </c>
      <c r="N246" s="32" t="s">
        <v>813</v>
      </c>
      <c r="O246" s="31">
        <f>236.5</f>
        <v>236.5</v>
      </c>
      <c r="P246" s="32" t="s">
        <v>94</v>
      </c>
      <c r="Q246" s="31">
        <f>239</f>
        <v>239</v>
      </c>
      <c r="R246" s="32" t="s">
        <v>934</v>
      </c>
      <c r="S246" s="33">
        <f>244.43</f>
        <v>244.43</v>
      </c>
      <c r="T246" s="30">
        <f>3200</f>
        <v>3200</v>
      </c>
      <c r="U246" s="30" t="str">
        <f>"－"</f>
        <v>－</v>
      </c>
      <c r="V246" s="30">
        <f>780701</f>
        <v>780701</v>
      </c>
      <c r="W246" s="30" t="str">
        <f>"－"</f>
        <v>－</v>
      </c>
      <c r="X246" s="34">
        <f>18</f>
        <v>18</v>
      </c>
    </row>
    <row r="247" spans="1:24" x14ac:dyDescent="0.15">
      <c r="A247" s="25" t="s">
        <v>1014</v>
      </c>
      <c r="B247" s="25" t="s">
        <v>778</v>
      </c>
      <c r="C247" s="25" t="s">
        <v>779</v>
      </c>
      <c r="D247" s="25" t="s">
        <v>780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2920</f>
        <v>2920</v>
      </c>
      <c r="L247" s="32" t="s">
        <v>904</v>
      </c>
      <c r="M247" s="31">
        <f>3137</f>
        <v>3137</v>
      </c>
      <c r="N247" s="32" t="s">
        <v>56</v>
      </c>
      <c r="O247" s="31">
        <f>2774.5</f>
        <v>2774.5</v>
      </c>
      <c r="P247" s="32" t="s">
        <v>934</v>
      </c>
      <c r="Q247" s="31">
        <f>2781.5</f>
        <v>2781.5</v>
      </c>
      <c r="R247" s="32" t="s">
        <v>934</v>
      </c>
      <c r="S247" s="33">
        <f>2938.03</f>
        <v>2938.03</v>
      </c>
      <c r="T247" s="30">
        <f>2150600</f>
        <v>2150600</v>
      </c>
      <c r="U247" s="30" t="str">
        <f>"－"</f>
        <v>－</v>
      </c>
      <c r="V247" s="30">
        <f>6312035100</f>
        <v>6312035100</v>
      </c>
      <c r="W247" s="30" t="str">
        <f>"－"</f>
        <v>－</v>
      </c>
      <c r="X247" s="34">
        <f>20</f>
        <v>20</v>
      </c>
    </row>
    <row r="248" spans="1:24" x14ac:dyDescent="0.15">
      <c r="A248" s="25" t="s">
        <v>1014</v>
      </c>
      <c r="B248" s="25" t="s">
        <v>781</v>
      </c>
      <c r="C248" s="25" t="s">
        <v>782</v>
      </c>
      <c r="D248" s="25" t="s">
        <v>783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2140</f>
        <v>2140</v>
      </c>
      <c r="L248" s="32" t="s">
        <v>904</v>
      </c>
      <c r="M248" s="31">
        <f>2244</f>
        <v>2244</v>
      </c>
      <c r="N248" s="32" t="s">
        <v>56</v>
      </c>
      <c r="O248" s="31">
        <f>1944</f>
        <v>1944</v>
      </c>
      <c r="P248" s="32" t="s">
        <v>934</v>
      </c>
      <c r="Q248" s="31">
        <f>1952</f>
        <v>1952</v>
      </c>
      <c r="R248" s="32" t="s">
        <v>934</v>
      </c>
      <c r="S248" s="33">
        <f>2090.13</f>
        <v>2090.13</v>
      </c>
      <c r="T248" s="30">
        <f>4999520</f>
        <v>4999520</v>
      </c>
      <c r="U248" s="30">
        <f>172000</f>
        <v>172000</v>
      </c>
      <c r="V248" s="30">
        <f>10413136018</f>
        <v>10413136018</v>
      </c>
      <c r="W248" s="30">
        <f>370579383</f>
        <v>370579383</v>
      </c>
      <c r="X248" s="34">
        <f>20</f>
        <v>20</v>
      </c>
    </row>
    <row r="249" spans="1:24" x14ac:dyDescent="0.15">
      <c r="A249" s="25" t="s">
        <v>1014</v>
      </c>
      <c r="B249" s="25" t="s">
        <v>784</v>
      </c>
      <c r="C249" s="25" t="s">
        <v>785</v>
      </c>
      <c r="D249" s="25" t="s">
        <v>786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</v>
      </c>
      <c r="K249" s="31">
        <f>3115</f>
        <v>3115</v>
      </c>
      <c r="L249" s="32" t="s">
        <v>904</v>
      </c>
      <c r="M249" s="31">
        <f>3240</f>
        <v>3240</v>
      </c>
      <c r="N249" s="32" t="s">
        <v>912</v>
      </c>
      <c r="O249" s="31">
        <f>3115</f>
        <v>3115</v>
      </c>
      <c r="P249" s="32" t="s">
        <v>904</v>
      </c>
      <c r="Q249" s="31">
        <f>3200</f>
        <v>3200</v>
      </c>
      <c r="R249" s="32" t="s">
        <v>934</v>
      </c>
      <c r="S249" s="33">
        <f>3192.5</f>
        <v>3192.5</v>
      </c>
      <c r="T249" s="30">
        <f>3011570</f>
        <v>3011570</v>
      </c>
      <c r="U249" s="30">
        <f>2385244</f>
        <v>2385244</v>
      </c>
      <c r="V249" s="30">
        <f>9593350295</f>
        <v>9593350295</v>
      </c>
      <c r="W249" s="30">
        <f>7588928135</f>
        <v>7588928135</v>
      </c>
      <c r="X249" s="34">
        <f>20</f>
        <v>20</v>
      </c>
    </row>
    <row r="250" spans="1:24" x14ac:dyDescent="0.15">
      <c r="A250" s="25" t="s">
        <v>1014</v>
      </c>
      <c r="B250" s="25" t="s">
        <v>787</v>
      </c>
      <c r="C250" s="25" t="s">
        <v>788</v>
      </c>
      <c r="D250" s="25" t="s">
        <v>789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1658</f>
        <v>1658</v>
      </c>
      <c r="L250" s="32" t="s">
        <v>904</v>
      </c>
      <c r="M250" s="31">
        <f>1658</f>
        <v>1658</v>
      </c>
      <c r="N250" s="32" t="s">
        <v>904</v>
      </c>
      <c r="O250" s="31">
        <f>1486</f>
        <v>1486</v>
      </c>
      <c r="P250" s="32" t="s">
        <v>94</v>
      </c>
      <c r="Q250" s="31">
        <f>1529</f>
        <v>1529</v>
      </c>
      <c r="R250" s="32" t="s">
        <v>934</v>
      </c>
      <c r="S250" s="33">
        <f>1587.3</f>
        <v>1587.3</v>
      </c>
      <c r="T250" s="30">
        <f>2190187</f>
        <v>2190187</v>
      </c>
      <c r="U250" s="30">
        <f>2006</f>
        <v>2006</v>
      </c>
      <c r="V250" s="30">
        <f>3442862717</f>
        <v>3442862717</v>
      </c>
      <c r="W250" s="30">
        <f>3111707</f>
        <v>3111707</v>
      </c>
      <c r="X250" s="34">
        <f>20</f>
        <v>20</v>
      </c>
    </row>
    <row r="251" spans="1:24" x14ac:dyDescent="0.15">
      <c r="A251" s="25" t="s">
        <v>1014</v>
      </c>
      <c r="B251" s="25" t="s">
        <v>790</v>
      </c>
      <c r="C251" s="25" t="s">
        <v>791</v>
      </c>
      <c r="D251" s="25" t="s">
        <v>792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1881</f>
        <v>1881</v>
      </c>
      <c r="L251" s="32" t="s">
        <v>904</v>
      </c>
      <c r="M251" s="31">
        <f>1937</f>
        <v>1937</v>
      </c>
      <c r="N251" s="32" t="s">
        <v>911</v>
      </c>
      <c r="O251" s="31">
        <f>1717</f>
        <v>1717</v>
      </c>
      <c r="P251" s="32" t="s">
        <v>94</v>
      </c>
      <c r="Q251" s="31">
        <f>1749</f>
        <v>1749</v>
      </c>
      <c r="R251" s="32" t="s">
        <v>934</v>
      </c>
      <c r="S251" s="33">
        <f>1847.95</f>
        <v>1847.95</v>
      </c>
      <c r="T251" s="30">
        <f>41527</f>
        <v>41527</v>
      </c>
      <c r="U251" s="30" t="str">
        <f>"－"</f>
        <v>－</v>
      </c>
      <c r="V251" s="30">
        <f>76034726</f>
        <v>76034726</v>
      </c>
      <c r="W251" s="30" t="str">
        <f>"－"</f>
        <v>－</v>
      </c>
      <c r="X251" s="34">
        <f>20</f>
        <v>20</v>
      </c>
    </row>
    <row r="252" spans="1:24" x14ac:dyDescent="0.15">
      <c r="A252" s="25" t="s">
        <v>1014</v>
      </c>
      <c r="B252" s="25" t="s">
        <v>793</v>
      </c>
      <c r="C252" s="25" t="s">
        <v>794</v>
      </c>
      <c r="D252" s="25" t="s">
        <v>795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2222</f>
        <v>2222</v>
      </c>
      <c r="L252" s="32" t="s">
        <v>904</v>
      </c>
      <c r="M252" s="31">
        <f>2249</f>
        <v>2249</v>
      </c>
      <c r="N252" s="32" t="s">
        <v>810</v>
      </c>
      <c r="O252" s="31">
        <f>2094</f>
        <v>2094</v>
      </c>
      <c r="P252" s="32" t="s">
        <v>934</v>
      </c>
      <c r="Q252" s="31">
        <f>2100</f>
        <v>2100</v>
      </c>
      <c r="R252" s="32" t="s">
        <v>934</v>
      </c>
      <c r="S252" s="33">
        <f>2162.74</f>
        <v>2162.7399999999998</v>
      </c>
      <c r="T252" s="30">
        <f>1817</f>
        <v>1817</v>
      </c>
      <c r="U252" s="30" t="str">
        <f>"－"</f>
        <v>－</v>
      </c>
      <c r="V252" s="30">
        <f>3879177</f>
        <v>3879177</v>
      </c>
      <c r="W252" s="30" t="str">
        <f>"－"</f>
        <v>－</v>
      </c>
      <c r="X252" s="34">
        <f>19</f>
        <v>19</v>
      </c>
    </row>
    <row r="253" spans="1:24" x14ac:dyDescent="0.15">
      <c r="A253" s="25" t="s">
        <v>1014</v>
      </c>
      <c r="B253" s="25" t="s">
        <v>796</v>
      </c>
      <c r="C253" s="25" t="s">
        <v>797</v>
      </c>
      <c r="D253" s="25" t="s">
        <v>798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2791</f>
        <v>2791</v>
      </c>
      <c r="L253" s="32" t="s">
        <v>904</v>
      </c>
      <c r="M253" s="31">
        <f>2873</f>
        <v>2873</v>
      </c>
      <c r="N253" s="32" t="s">
        <v>56</v>
      </c>
      <c r="O253" s="31">
        <f>2605</f>
        <v>2605</v>
      </c>
      <c r="P253" s="32" t="s">
        <v>94</v>
      </c>
      <c r="Q253" s="31">
        <f>2620</f>
        <v>2620</v>
      </c>
      <c r="R253" s="32" t="s">
        <v>934</v>
      </c>
      <c r="S253" s="33">
        <f>2754.3</f>
        <v>2754.3</v>
      </c>
      <c r="T253" s="30">
        <f>782000</f>
        <v>782000</v>
      </c>
      <c r="U253" s="30">
        <f>200000</f>
        <v>200000</v>
      </c>
      <c r="V253" s="30">
        <f>2153552892</f>
        <v>2153552892</v>
      </c>
      <c r="W253" s="30">
        <f>560930000</f>
        <v>560930000</v>
      </c>
      <c r="X253" s="34">
        <f>20</f>
        <v>20</v>
      </c>
    </row>
    <row r="254" spans="1:24" x14ac:dyDescent="0.15">
      <c r="A254" s="25" t="s">
        <v>1014</v>
      </c>
      <c r="B254" s="25" t="s">
        <v>799</v>
      </c>
      <c r="C254" s="25" t="s">
        <v>800</v>
      </c>
      <c r="D254" s="25" t="s">
        <v>801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1947</f>
        <v>1947</v>
      </c>
      <c r="L254" s="32" t="s">
        <v>904</v>
      </c>
      <c r="M254" s="31">
        <f>1990</f>
        <v>1990</v>
      </c>
      <c r="N254" s="32" t="s">
        <v>56</v>
      </c>
      <c r="O254" s="31">
        <f>1839</f>
        <v>1839</v>
      </c>
      <c r="P254" s="32" t="s">
        <v>94</v>
      </c>
      <c r="Q254" s="31">
        <f>1858</f>
        <v>1858</v>
      </c>
      <c r="R254" s="32" t="s">
        <v>934</v>
      </c>
      <c r="S254" s="33">
        <f>1927.55</f>
        <v>1927.55</v>
      </c>
      <c r="T254" s="30">
        <f>704527</f>
        <v>704527</v>
      </c>
      <c r="U254" s="30">
        <f>85311</f>
        <v>85311</v>
      </c>
      <c r="V254" s="30">
        <f>1371869528</f>
        <v>1371869528</v>
      </c>
      <c r="W254" s="30">
        <f>167144525</f>
        <v>167144525</v>
      </c>
      <c r="X254" s="34">
        <f>20</f>
        <v>20</v>
      </c>
    </row>
    <row r="255" spans="1:24" x14ac:dyDescent="0.15">
      <c r="A255" s="25" t="s">
        <v>1014</v>
      </c>
      <c r="B255" s="25" t="s">
        <v>802</v>
      </c>
      <c r="C255" s="25" t="s">
        <v>803</v>
      </c>
      <c r="D255" s="25" t="s">
        <v>804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1888</f>
        <v>1888</v>
      </c>
      <c r="L255" s="32" t="s">
        <v>904</v>
      </c>
      <c r="M255" s="31">
        <f>1938</f>
        <v>1938</v>
      </c>
      <c r="N255" s="32" t="s">
        <v>56</v>
      </c>
      <c r="O255" s="31">
        <f>1775</f>
        <v>1775</v>
      </c>
      <c r="P255" s="32" t="s">
        <v>94</v>
      </c>
      <c r="Q255" s="31">
        <f>1798</f>
        <v>1798</v>
      </c>
      <c r="R255" s="32" t="s">
        <v>934</v>
      </c>
      <c r="S255" s="33">
        <f>1860.1</f>
        <v>1860.1</v>
      </c>
      <c r="T255" s="30">
        <f>21707</f>
        <v>21707</v>
      </c>
      <c r="U255" s="30" t="str">
        <f>"－"</f>
        <v>－</v>
      </c>
      <c r="V255" s="30">
        <f>40135301</f>
        <v>40135301</v>
      </c>
      <c r="W255" s="30" t="str">
        <f>"－"</f>
        <v>－</v>
      </c>
      <c r="X255" s="34">
        <f>20</f>
        <v>20</v>
      </c>
    </row>
    <row r="256" spans="1:24" x14ac:dyDescent="0.15">
      <c r="A256" s="25" t="s">
        <v>1014</v>
      </c>
      <c r="B256" s="25" t="s">
        <v>805</v>
      </c>
      <c r="C256" s="25" t="s">
        <v>806</v>
      </c>
      <c r="D256" s="25" t="s">
        <v>807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1535</f>
        <v>1535</v>
      </c>
      <c r="L256" s="32" t="s">
        <v>904</v>
      </c>
      <c r="M256" s="31">
        <f>1567</f>
        <v>1567</v>
      </c>
      <c r="N256" s="32" t="s">
        <v>56</v>
      </c>
      <c r="O256" s="31">
        <f>1407</f>
        <v>1407</v>
      </c>
      <c r="P256" s="32" t="s">
        <v>94</v>
      </c>
      <c r="Q256" s="31">
        <f>1423</f>
        <v>1423</v>
      </c>
      <c r="R256" s="32" t="s">
        <v>934</v>
      </c>
      <c r="S256" s="33">
        <f>1493.1</f>
        <v>1493.1</v>
      </c>
      <c r="T256" s="30">
        <f>25352</f>
        <v>25352</v>
      </c>
      <c r="U256" s="30" t="str">
        <f>"－"</f>
        <v>－</v>
      </c>
      <c r="V256" s="30">
        <f>37239025</f>
        <v>37239025</v>
      </c>
      <c r="W256" s="30" t="str">
        <f>"－"</f>
        <v>－</v>
      </c>
      <c r="X256" s="34">
        <f>20</f>
        <v>20</v>
      </c>
    </row>
    <row r="257" spans="1:24" x14ac:dyDescent="0.15">
      <c r="A257" s="25" t="s">
        <v>1014</v>
      </c>
      <c r="B257" s="25" t="s">
        <v>824</v>
      </c>
      <c r="C257" s="25" t="s">
        <v>825</v>
      </c>
      <c r="D257" s="25" t="s">
        <v>826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2140</f>
        <v>2140</v>
      </c>
      <c r="L257" s="32" t="s">
        <v>904</v>
      </c>
      <c r="M257" s="31">
        <f>2237</f>
        <v>2237</v>
      </c>
      <c r="N257" s="32" t="s">
        <v>912</v>
      </c>
      <c r="O257" s="31">
        <f>1959</f>
        <v>1959</v>
      </c>
      <c r="P257" s="32" t="s">
        <v>94</v>
      </c>
      <c r="Q257" s="31">
        <f>1977</f>
        <v>1977</v>
      </c>
      <c r="R257" s="32" t="s">
        <v>934</v>
      </c>
      <c r="S257" s="33">
        <f>2091</f>
        <v>2091</v>
      </c>
      <c r="T257" s="30">
        <f>12146</f>
        <v>12146</v>
      </c>
      <c r="U257" s="30" t="str">
        <f>"－"</f>
        <v>－</v>
      </c>
      <c r="V257" s="30">
        <f>24635474</f>
        <v>24635474</v>
      </c>
      <c r="W257" s="30" t="str">
        <f>"－"</f>
        <v>－</v>
      </c>
      <c r="X257" s="34">
        <f>20</f>
        <v>20</v>
      </c>
    </row>
    <row r="258" spans="1:24" x14ac:dyDescent="0.15">
      <c r="A258" s="25" t="s">
        <v>1014</v>
      </c>
      <c r="B258" s="25" t="s">
        <v>827</v>
      </c>
      <c r="C258" s="25" t="s">
        <v>828</v>
      </c>
      <c r="D258" s="25" t="s">
        <v>829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2518</f>
        <v>2518</v>
      </c>
      <c r="L258" s="32" t="s">
        <v>904</v>
      </c>
      <c r="M258" s="31">
        <f>2585</f>
        <v>2585</v>
      </c>
      <c r="N258" s="32" t="s">
        <v>56</v>
      </c>
      <c r="O258" s="31">
        <f>2303</f>
        <v>2303</v>
      </c>
      <c r="P258" s="32" t="s">
        <v>936</v>
      </c>
      <c r="Q258" s="31">
        <f>2327</f>
        <v>2327</v>
      </c>
      <c r="R258" s="32" t="s">
        <v>934</v>
      </c>
      <c r="S258" s="33">
        <f>2469.4</f>
        <v>2469.4</v>
      </c>
      <c r="T258" s="30">
        <f>6180</f>
        <v>6180</v>
      </c>
      <c r="U258" s="30" t="str">
        <f>"－"</f>
        <v>－</v>
      </c>
      <c r="V258" s="30">
        <f>14847042</f>
        <v>14847042</v>
      </c>
      <c r="W258" s="30" t="str">
        <f>"－"</f>
        <v>－</v>
      </c>
      <c r="X258" s="34">
        <f>20</f>
        <v>20</v>
      </c>
    </row>
    <row r="259" spans="1:24" x14ac:dyDescent="0.15">
      <c r="A259" s="25" t="s">
        <v>1014</v>
      </c>
      <c r="B259" s="25" t="s">
        <v>830</v>
      </c>
      <c r="C259" s="25" t="s">
        <v>831</v>
      </c>
      <c r="D259" s="25" t="s">
        <v>832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10000</f>
        <v>10000</v>
      </c>
      <c r="L259" s="32" t="s">
        <v>904</v>
      </c>
      <c r="M259" s="31">
        <f>10460</f>
        <v>10460</v>
      </c>
      <c r="N259" s="32" t="s">
        <v>56</v>
      </c>
      <c r="O259" s="31">
        <f>9110</f>
        <v>9110</v>
      </c>
      <c r="P259" s="32" t="s">
        <v>94</v>
      </c>
      <c r="Q259" s="31">
        <f>9184</f>
        <v>9184</v>
      </c>
      <c r="R259" s="32" t="s">
        <v>934</v>
      </c>
      <c r="S259" s="33">
        <f>9809</f>
        <v>9809</v>
      </c>
      <c r="T259" s="30">
        <f>807828</f>
        <v>807828</v>
      </c>
      <c r="U259" s="30">
        <f>364283</f>
        <v>364283</v>
      </c>
      <c r="V259" s="30">
        <f>7811625805</f>
        <v>7811625805</v>
      </c>
      <c r="W259" s="30">
        <f>3563381201</f>
        <v>3563381201</v>
      </c>
      <c r="X259" s="34">
        <f>20</f>
        <v>20</v>
      </c>
    </row>
    <row r="260" spans="1:24" x14ac:dyDescent="0.15">
      <c r="A260" s="25" t="s">
        <v>1014</v>
      </c>
      <c r="B260" s="25" t="s">
        <v>833</v>
      </c>
      <c r="C260" s="25" t="s">
        <v>834</v>
      </c>
      <c r="D260" s="25" t="s">
        <v>835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12195</f>
        <v>12195</v>
      </c>
      <c r="L260" s="32" t="s">
        <v>904</v>
      </c>
      <c r="M260" s="31">
        <f>13105</f>
        <v>13105</v>
      </c>
      <c r="N260" s="32" t="s">
        <v>56</v>
      </c>
      <c r="O260" s="31">
        <f>11575</f>
        <v>11575</v>
      </c>
      <c r="P260" s="32" t="s">
        <v>812</v>
      </c>
      <c r="Q260" s="31">
        <f>11605</f>
        <v>11605</v>
      </c>
      <c r="R260" s="32" t="s">
        <v>934</v>
      </c>
      <c r="S260" s="33">
        <f>12268.5</f>
        <v>12268.5</v>
      </c>
      <c r="T260" s="30">
        <f>1154290</f>
        <v>1154290</v>
      </c>
      <c r="U260" s="30">
        <f>76000</f>
        <v>76000</v>
      </c>
      <c r="V260" s="30">
        <f>14175891371</f>
        <v>14175891371</v>
      </c>
      <c r="W260" s="30">
        <f>994645896</f>
        <v>994645896</v>
      </c>
      <c r="X260" s="34">
        <f>20</f>
        <v>20</v>
      </c>
    </row>
    <row r="261" spans="1:24" x14ac:dyDescent="0.15">
      <c r="A261" s="25" t="s">
        <v>1014</v>
      </c>
      <c r="B261" s="25" t="s">
        <v>836</v>
      </c>
      <c r="C261" s="25" t="s">
        <v>837</v>
      </c>
      <c r="D261" s="25" t="s">
        <v>838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9000</f>
        <v>9000</v>
      </c>
      <c r="L261" s="32" t="s">
        <v>904</v>
      </c>
      <c r="M261" s="31">
        <f>9419</f>
        <v>9419</v>
      </c>
      <c r="N261" s="32" t="s">
        <v>56</v>
      </c>
      <c r="O261" s="31">
        <f>8150</f>
        <v>8150</v>
      </c>
      <c r="P261" s="32" t="s">
        <v>94</v>
      </c>
      <c r="Q261" s="31">
        <f>8186</f>
        <v>8186</v>
      </c>
      <c r="R261" s="32" t="s">
        <v>934</v>
      </c>
      <c r="S261" s="33">
        <f>8771.45</f>
        <v>8771.4500000000007</v>
      </c>
      <c r="T261" s="30">
        <f>555099</f>
        <v>555099</v>
      </c>
      <c r="U261" s="30">
        <f>80907</f>
        <v>80907</v>
      </c>
      <c r="V261" s="30">
        <f>4792449102</f>
        <v>4792449102</v>
      </c>
      <c r="W261" s="30">
        <f>687311846</f>
        <v>687311846</v>
      </c>
      <c r="X261" s="34">
        <f>20</f>
        <v>20</v>
      </c>
    </row>
    <row r="262" spans="1:24" x14ac:dyDescent="0.15">
      <c r="A262" s="25" t="s">
        <v>1014</v>
      </c>
      <c r="B262" s="25" t="s">
        <v>839</v>
      </c>
      <c r="C262" s="25" t="s">
        <v>840</v>
      </c>
      <c r="D262" s="25" t="s">
        <v>841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2554</f>
        <v>2554</v>
      </c>
      <c r="L262" s="32" t="s">
        <v>904</v>
      </c>
      <c r="M262" s="31">
        <f>2707.5</f>
        <v>2707.5</v>
      </c>
      <c r="N262" s="32" t="s">
        <v>56</v>
      </c>
      <c r="O262" s="31">
        <f>2410.5</f>
        <v>2410.5</v>
      </c>
      <c r="P262" s="32" t="s">
        <v>94</v>
      </c>
      <c r="Q262" s="31">
        <f>2423.5</f>
        <v>2423.5</v>
      </c>
      <c r="R262" s="32" t="s">
        <v>934</v>
      </c>
      <c r="S262" s="33">
        <f>2561.88</f>
        <v>2561.88</v>
      </c>
      <c r="T262" s="30">
        <f>768400</f>
        <v>768400</v>
      </c>
      <c r="U262" s="30" t="str">
        <f>"－"</f>
        <v>－</v>
      </c>
      <c r="V262" s="30">
        <f>1940153770</f>
        <v>1940153770</v>
      </c>
      <c r="W262" s="30" t="str">
        <f>"－"</f>
        <v>－</v>
      </c>
      <c r="X262" s="34">
        <f>20</f>
        <v>20</v>
      </c>
    </row>
    <row r="263" spans="1:24" x14ac:dyDescent="0.15">
      <c r="A263" s="25" t="s">
        <v>1014</v>
      </c>
      <c r="B263" s="25" t="s">
        <v>842</v>
      </c>
      <c r="C263" s="25" t="s">
        <v>843</v>
      </c>
      <c r="D263" s="25" t="s">
        <v>844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1967</f>
        <v>1967</v>
      </c>
      <c r="L263" s="32" t="s">
        <v>904</v>
      </c>
      <c r="M263" s="31">
        <f>2044.5</f>
        <v>2044.5</v>
      </c>
      <c r="N263" s="32" t="s">
        <v>56</v>
      </c>
      <c r="O263" s="31">
        <f>1781</f>
        <v>1781</v>
      </c>
      <c r="P263" s="32" t="s">
        <v>94</v>
      </c>
      <c r="Q263" s="31">
        <f>1796.5</f>
        <v>1796.5</v>
      </c>
      <c r="R263" s="32" t="s">
        <v>934</v>
      </c>
      <c r="S263" s="33">
        <f>1922</f>
        <v>1922</v>
      </c>
      <c r="T263" s="30">
        <f>4891870</f>
        <v>4891870</v>
      </c>
      <c r="U263" s="30">
        <f>2118830</f>
        <v>2118830</v>
      </c>
      <c r="V263" s="30">
        <f>9205775142</f>
        <v>9205775142</v>
      </c>
      <c r="W263" s="30">
        <f>4013673052</f>
        <v>4013673052</v>
      </c>
      <c r="X263" s="34">
        <f>20</f>
        <v>20</v>
      </c>
    </row>
    <row r="264" spans="1:24" x14ac:dyDescent="0.15">
      <c r="A264" s="25" t="s">
        <v>1014</v>
      </c>
      <c r="B264" s="25" t="s">
        <v>845</v>
      </c>
      <c r="C264" s="25" t="s">
        <v>846</v>
      </c>
      <c r="D264" s="25" t="s">
        <v>847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2617</f>
        <v>2617</v>
      </c>
      <c r="L264" s="32" t="s">
        <v>904</v>
      </c>
      <c r="M264" s="31">
        <f>2799.5</f>
        <v>2799.5</v>
      </c>
      <c r="N264" s="32" t="s">
        <v>56</v>
      </c>
      <c r="O264" s="31">
        <f>2475</f>
        <v>2475</v>
      </c>
      <c r="P264" s="32" t="s">
        <v>94</v>
      </c>
      <c r="Q264" s="31">
        <f>2487</f>
        <v>2487</v>
      </c>
      <c r="R264" s="32" t="s">
        <v>934</v>
      </c>
      <c r="S264" s="33">
        <f>2626.05</f>
        <v>2626.05</v>
      </c>
      <c r="T264" s="30">
        <f>163630</f>
        <v>163630</v>
      </c>
      <c r="U264" s="30">
        <f>100040</f>
        <v>100040</v>
      </c>
      <c r="V264" s="30">
        <f>418771250</f>
        <v>418771250</v>
      </c>
      <c r="W264" s="30">
        <f>248442640</f>
        <v>248442640</v>
      </c>
      <c r="X264" s="34">
        <f>20</f>
        <v>20</v>
      </c>
    </row>
    <row r="265" spans="1:24" x14ac:dyDescent="0.15">
      <c r="A265" s="25" t="s">
        <v>1014</v>
      </c>
      <c r="B265" s="25" t="s">
        <v>848</v>
      </c>
      <c r="C265" s="25" t="s">
        <v>849</v>
      </c>
      <c r="D265" s="25" t="s">
        <v>850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2553</f>
        <v>2553</v>
      </c>
      <c r="L265" s="32" t="s">
        <v>904</v>
      </c>
      <c r="M265" s="31">
        <f>2628</f>
        <v>2628</v>
      </c>
      <c r="N265" s="32" t="s">
        <v>56</v>
      </c>
      <c r="O265" s="31">
        <f>2371</f>
        <v>2371</v>
      </c>
      <c r="P265" s="32" t="s">
        <v>94</v>
      </c>
      <c r="Q265" s="31">
        <f>2388</f>
        <v>2388</v>
      </c>
      <c r="R265" s="32" t="s">
        <v>934</v>
      </c>
      <c r="S265" s="33">
        <f>2510.3</f>
        <v>2510.3000000000002</v>
      </c>
      <c r="T265" s="30">
        <f>1036</f>
        <v>1036</v>
      </c>
      <c r="U265" s="30" t="str">
        <f>"－"</f>
        <v>－</v>
      </c>
      <c r="V265" s="30">
        <f>2578034</f>
        <v>2578034</v>
      </c>
      <c r="W265" s="30" t="str">
        <f>"－"</f>
        <v>－</v>
      </c>
      <c r="X265" s="34">
        <f>20</f>
        <v>20</v>
      </c>
    </row>
    <row r="266" spans="1:24" x14ac:dyDescent="0.15">
      <c r="A266" s="25" t="s">
        <v>1014</v>
      </c>
      <c r="B266" s="25" t="s">
        <v>851</v>
      </c>
      <c r="C266" s="25" t="s">
        <v>852</v>
      </c>
      <c r="D266" s="25" t="s">
        <v>853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1595</f>
        <v>1595</v>
      </c>
      <c r="L266" s="32" t="s">
        <v>904</v>
      </c>
      <c r="M266" s="31">
        <f>1638</f>
        <v>1638</v>
      </c>
      <c r="N266" s="32" t="s">
        <v>813</v>
      </c>
      <c r="O266" s="31">
        <f>1491</f>
        <v>1491</v>
      </c>
      <c r="P266" s="32" t="s">
        <v>266</v>
      </c>
      <c r="Q266" s="31">
        <f>1520</f>
        <v>1520</v>
      </c>
      <c r="R266" s="32" t="s">
        <v>934</v>
      </c>
      <c r="S266" s="33">
        <f>1573.3</f>
        <v>1573.3</v>
      </c>
      <c r="T266" s="30">
        <f>42049</f>
        <v>42049</v>
      </c>
      <c r="U266" s="30">
        <f>6</f>
        <v>6</v>
      </c>
      <c r="V266" s="30">
        <f>66565464</f>
        <v>66565464</v>
      </c>
      <c r="W266" s="30">
        <f>9289</f>
        <v>9289</v>
      </c>
      <c r="X266" s="34">
        <f>20</f>
        <v>20</v>
      </c>
    </row>
    <row r="267" spans="1:24" x14ac:dyDescent="0.15">
      <c r="A267" s="25" t="s">
        <v>1014</v>
      </c>
      <c r="B267" s="25" t="s">
        <v>854</v>
      </c>
      <c r="C267" s="25" t="s">
        <v>855</v>
      </c>
      <c r="D267" s="25" t="s">
        <v>856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1974</f>
        <v>1974</v>
      </c>
      <c r="L267" s="32" t="s">
        <v>904</v>
      </c>
      <c r="M267" s="31">
        <f>2012</f>
        <v>2012</v>
      </c>
      <c r="N267" s="32" t="s">
        <v>813</v>
      </c>
      <c r="O267" s="31">
        <f>1775</f>
        <v>1775</v>
      </c>
      <c r="P267" s="32" t="s">
        <v>94</v>
      </c>
      <c r="Q267" s="31">
        <f>1783</f>
        <v>1783</v>
      </c>
      <c r="R267" s="32" t="s">
        <v>934</v>
      </c>
      <c r="S267" s="33">
        <f>1906.85</f>
        <v>1906.85</v>
      </c>
      <c r="T267" s="30">
        <f>64732</f>
        <v>64732</v>
      </c>
      <c r="U267" s="30" t="str">
        <f>"－"</f>
        <v>－</v>
      </c>
      <c r="V267" s="30">
        <f>123900782</f>
        <v>123900782</v>
      </c>
      <c r="W267" s="30" t="str">
        <f>"－"</f>
        <v>－</v>
      </c>
      <c r="X267" s="34">
        <f>20</f>
        <v>20</v>
      </c>
    </row>
    <row r="268" spans="1:24" x14ac:dyDescent="0.15">
      <c r="A268" s="25" t="s">
        <v>1014</v>
      </c>
      <c r="B268" s="25" t="s">
        <v>857</v>
      </c>
      <c r="C268" s="25" t="s">
        <v>858</v>
      </c>
      <c r="D268" s="25" t="s">
        <v>859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1655</f>
        <v>1655</v>
      </c>
      <c r="L268" s="32" t="s">
        <v>904</v>
      </c>
      <c r="M268" s="31">
        <f>1693</f>
        <v>1693</v>
      </c>
      <c r="N268" s="32" t="s">
        <v>56</v>
      </c>
      <c r="O268" s="31">
        <f>1538</f>
        <v>1538</v>
      </c>
      <c r="P268" s="32" t="s">
        <v>94</v>
      </c>
      <c r="Q268" s="31">
        <f>1566</f>
        <v>1566</v>
      </c>
      <c r="R268" s="32" t="s">
        <v>934</v>
      </c>
      <c r="S268" s="33">
        <f>1614.65</f>
        <v>1614.65</v>
      </c>
      <c r="T268" s="30">
        <f>12250</f>
        <v>12250</v>
      </c>
      <c r="U268" s="30" t="str">
        <f>"－"</f>
        <v>－</v>
      </c>
      <c r="V268" s="30">
        <f>19249703</f>
        <v>19249703</v>
      </c>
      <c r="W268" s="30" t="str">
        <f>"－"</f>
        <v>－</v>
      </c>
      <c r="X268" s="34">
        <f>20</f>
        <v>20</v>
      </c>
    </row>
    <row r="269" spans="1:24" x14ac:dyDescent="0.15">
      <c r="A269" s="25" t="s">
        <v>1014</v>
      </c>
      <c r="B269" s="25" t="s">
        <v>860</v>
      </c>
      <c r="C269" s="25" t="s">
        <v>861</v>
      </c>
      <c r="D269" s="25" t="s">
        <v>862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2605</f>
        <v>2605</v>
      </c>
      <c r="L269" s="32" t="s">
        <v>904</v>
      </c>
      <c r="M269" s="31">
        <f>2680</f>
        <v>2680</v>
      </c>
      <c r="N269" s="32" t="s">
        <v>56</v>
      </c>
      <c r="O269" s="31">
        <f>2480</f>
        <v>2480</v>
      </c>
      <c r="P269" s="32" t="s">
        <v>934</v>
      </c>
      <c r="Q269" s="31">
        <f>2494</f>
        <v>2494</v>
      </c>
      <c r="R269" s="32" t="s">
        <v>934</v>
      </c>
      <c r="S269" s="33">
        <f>2577.65</f>
        <v>2577.65</v>
      </c>
      <c r="T269" s="30">
        <f>52226</f>
        <v>52226</v>
      </c>
      <c r="U269" s="30" t="str">
        <f>"－"</f>
        <v>－</v>
      </c>
      <c r="V269" s="30">
        <f>135243625</f>
        <v>135243625</v>
      </c>
      <c r="W269" s="30" t="str">
        <f>"－"</f>
        <v>－</v>
      </c>
      <c r="X269" s="34">
        <f>20</f>
        <v>20</v>
      </c>
    </row>
    <row r="270" spans="1:24" x14ac:dyDescent="0.15">
      <c r="A270" s="25" t="s">
        <v>1014</v>
      </c>
      <c r="B270" s="25" t="s">
        <v>863</v>
      </c>
      <c r="C270" s="25" t="s">
        <v>864</v>
      </c>
      <c r="D270" s="25" t="s">
        <v>865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2030</f>
        <v>2030</v>
      </c>
      <c r="L270" s="32" t="s">
        <v>904</v>
      </c>
      <c r="M270" s="31">
        <f>2068</f>
        <v>2068</v>
      </c>
      <c r="N270" s="32" t="s">
        <v>56</v>
      </c>
      <c r="O270" s="31">
        <f>1892</f>
        <v>1892</v>
      </c>
      <c r="P270" s="32" t="s">
        <v>94</v>
      </c>
      <c r="Q270" s="31">
        <f>1901</f>
        <v>1901</v>
      </c>
      <c r="R270" s="32" t="s">
        <v>934</v>
      </c>
      <c r="S270" s="33">
        <f>1992.25</f>
        <v>1992.25</v>
      </c>
      <c r="T270" s="30">
        <f>95327</f>
        <v>95327</v>
      </c>
      <c r="U270" s="30">
        <f>8</f>
        <v>8</v>
      </c>
      <c r="V270" s="30">
        <f>188161307</f>
        <v>188161307</v>
      </c>
      <c r="W270" s="30">
        <f>15946</f>
        <v>15946</v>
      </c>
      <c r="X270" s="34">
        <f>20</f>
        <v>20</v>
      </c>
    </row>
    <row r="271" spans="1:24" x14ac:dyDescent="0.15">
      <c r="A271" s="25" t="s">
        <v>1014</v>
      </c>
      <c r="B271" s="25" t="s">
        <v>866</v>
      </c>
      <c r="C271" s="25" t="s">
        <v>867</v>
      </c>
      <c r="D271" s="25" t="s">
        <v>868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25740</f>
        <v>25740</v>
      </c>
      <c r="L271" s="32" t="s">
        <v>904</v>
      </c>
      <c r="M271" s="31">
        <f>26150</f>
        <v>26150</v>
      </c>
      <c r="N271" s="32" t="s">
        <v>813</v>
      </c>
      <c r="O271" s="31">
        <f>24350</f>
        <v>24350</v>
      </c>
      <c r="P271" s="32" t="s">
        <v>94</v>
      </c>
      <c r="Q271" s="31">
        <f>24560</f>
        <v>24560</v>
      </c>
      <c r="R271" s="32" t="s">
        <v>934</v>
      </c>
      <c r="S271" s="33">
        <f>25409.41</f>
        <v>25409.41</v>
      </c>
      <c r="T271" s="30">
        <f>105</f>
        <v>105</v>
      </c>
      <c r="U271" s="30" t="str">
        <f>"－"</f>
        <v>－</v>
      </c>
      <c r="V271" s="30">
        <f>2676550</f>
        <v>2676550</v>
      </c>
      <c r="W271" s="30" t="str">
        <f>"－"</f>
        <v>－</v>
      </c>
      <c r="X271" s="34">
        <f>17</f>
        <v>17</v>
      </c>
    </row>
    <row r="272" spans="1:24" x14ac:dyDescent="0.15">
      <c r="A272" s="25" t="s">
        <v>1014</v>
      </c>
      <c r="B272" s="25" t="s">
        <v>869</v>
      </c>
      <c r="C272" s="25" t="s">
        <v>870</v>
      </c>
      <c r="D272" s="25" t="s">
        <v>871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2011</f>
        <v>2011</v>
      </c>
      <c r="L272" s="32" t="s">
        <v>904</v>
      </c>
      <c r="M272" s="31">
        <f>2047</f>
        <v>2047</v>
      </c>
      <c r="N272" s="32" t="s">
        <v>56</v>
      </c>
      <c r="O272" s="31">
        <f>1886</f>
        <v>1886</v>
      </c>
      <c r="P272" s="32" t="s">
        <v>94</v>
      </c>
      <c r="Q272" s="31">
        <f>1902</f>
        <v>1902</v>
      </c>
      <c r="R272" s="32" t="s">
        <v>934</v>
      </c>
      <c r="S272" s="33">
        <f>1978.32</f>
        <v>1978.32</v>
      </c>
      <c r="T272" s="30">
        <f>1949</f>
        <v>1949</v>
      </c>
      <c r="U272" s="30" t="str">
        <f>"－"</f>
        <v>－</v>
      </c>
      <c r="V272" s="30">
        <f>3924667</f>
        <v>3924667</v>
      </c>
      <c r="W272" s="30" t="str">
        <f>"－"</f>
        <v>－</v>
      </c>
      <c r="X272" s="34">
        <f>19</f>
        <v>19</v>
      </c>
    </row>
    <row r="273" spans="1:24" x14ac:dyDescent="0.15">
      <c r="A273" s="25" t="s">
        <v>1014</v>
      </c>
      <c r="B273" s="25" t="s">
        <v>872</v>
      </c>
      <c r="C273" s="25" t="s">
        <v>873</v>
      </c>
      <c r="D273" s="25" t="s">
        <v>874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2052</f>
        <v>2052</v>
      </c>
      <c r="L273" s="32" t="s">
        <v>904</v>
      </c>
      <c r="M273" s="31">
        <f>2135</f>
        <v>2135</v>
      </c>
      <c r="N273" s="32" t="s">
        <v>56</v>
      </c>
      <c r="O273" s="31">
        <f>1829</f>
        <v>1829</v>
      </c>
      <c r="P273" s="32" t="s">
        <v>934</v>
      </c>
      <c r="Q273" s="31">
        <f>1844</f>
        <v>1844</v>
      </c>
      <c r="R273" s="32" t="s">
        <v>934</v>
      </c>
      <c r="S273" s="33">
        <f>2008.05</f>
        <v>2008.05</v>
      </c>
      <c r="T273" s="30">
        <f>311453</f>
        <v>311453</v>
      </c>
      <c r="U273" s="30" t="str">
        <f>"－"</f>
        <v>－</v>
      </c>
      <c r="V273" s="30">
        <f>618431601</f>
        <v>618431601</v>
      </c>
      <c r="W273" s="30" t="str">
        <f>"－"</f>
        <v>－</v>
      </c>
      <c r="X273" s="34">
        <f>20</f>
        <v>20</v>
      </c>
    </row>
    <row r="274" spans="1:24" x14ac:dyDescent="0.15">
      <c r="A274" s="25" t="s">
        <v>1014</v>
      </c>
      <c r="B274" s="25" t="s">
        <v>875</v>
      </c>
      <c r="C274" s="25" t="s">
        <v>876</v>
      </c>
      <c r="D274" s="25" t="s">
        <v>877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1833</f>
        <v>1833</v>
      </c>
      <c r="L274" s="32" t="s">
        <v>904</v>
      </c>
      <c r="M274" s="31">
        <f>1852</f>
        <v>1852</v>
      </c>
      <c r="N274" s="32" t="s">
        <v>56</v>
      </c>
      <c r="O274" s="31">
        <f>1713</f>
        <v>1713</v>
      </c>
      <c r="P274" s="32" t="s">
        <v>94</v>
      </c>
      <c r="Q274" s="31">
        <f>1744</f>
        <v>1744</v>
      </c>
      <c r="R274" s="32" t="s">
        <v>934</v>
      </c>
      <c r="S274" s="33">
        <f>1796.2</f>
        <v>1796.2</v>
      </c>
      <c r="T274" s="30">
        <f>12905</f>
        <v>12905</v>
      </c>
      <c r="U274" s="30" t="str">
        <f>"－"</f>
        <v>－</v>
      </c>
      <c r="V274" s="30">
        <f>23319021</f>
        <v>23319021</v>
      </c>
      <c r="W274" s="30" t="str">
        <f>"－"</f>
        <v>－</v>
      </c>
      <c r="X274" s="34">
        <f>20</f>
        <v>20</v>
      </c>
    </row>
    <row r="275" spans="1:24" x14ac:dyDescent="0.15">
      <c r="A275" s="25" t="s">
        <v>1014</v>
      </c>
      <c r="B275" s="25" t="s">
        <v>878</v>
      </c>
      <c r="C275" s="25" t="s">
        <v>879</v>
      </c>
      <c r="D275" s="25" t="s">
        <v>880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1375</f>
        <v>1375</v>
      </c>
      <c r="L275" s="32" t="s">
        <v>904</v>
      </c>
      <c r="M275" s="31">
        <f>1424</f>
        <v>1424</v>
      </c>
      <c r="N275" s="32" t="s">
        <v>56</v>
      </c>
      <c r="O275" s="31">
        <f>1304</f>
        <v>1304</v>
      </c>
      <c r="P275" s="32" t="s">
        <v>94</v>
      </c>
      <c r="Q275" s="31">
        <f>1314</f>
        <v>1314</v>
      </c>
      <c r="R275" s="32" t="s">
        <v>934</v>
      </c>
      <c r="S275" s="33">
        <f>1364</f>
        <v>1364</v>
      </c>
      <c r="T275" s="30">
        <f>7066</f>
        <v>7066</v>
      </c>
      <c r="U275" s="30" t="str">
        <f>"－"</f>
        <v>－</v>
      </c>
      <c r="V275" s="30">
        <f>9745260</f>
        <v>9745260</v>
      </c>
      <c r="W275" s="30" t="str">
        <f>"－"</f>
        <v>－</v>
      </c>
      <c r="X275" s="34">
        <f>20</f>
        <v>20</v>
      </c>
    </row>
    <row r="276" spans="1:24" x14ac:dyDescent="0.15">
      <c r="A276" s="25" t="s">
        <v>1014</v>
      </c>
      <c r="B276" s="25" t="s">
        <v>881</v>
      </c>
      <c r="C276" s="25" t="s">
        <v>882</v>
      </c>
      <c r="D276" s="25" t="s">
        <v>883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5430</f>
        <v>5430</v>
      </c>
      <c r="L276" s="32" t="s">
        <v>904</v>
      </c>
      <c r="M276" s="31">
        <f>5581</f>
        <v>5581</v>
      </c>
      <c r="N276" s="32" t="s">
        <v>912</v>
      </c>
      <c r="O276" s="31">
        <f>5291</f>
        <v>5291</v>
      </c>
      <c r="P276" s="32" t="s">
        <v>94</v>
      </c>
      <c r="Q276" s="31">
        <f>5379</f>
        <v>5379</v>
      </c>
      <c r="R276" s="32" t="s">
        <v>934</v>
      </c>
      <c r="S276" s="33">
        <f>5452.63</f>
        <v>5452.63</v>
      </c>
      <c r="T276" s="30">
        <f>1049650</f>
        <v>1049650</v>
      </c>
      <c r="U276" s="30">
        <f>538510</f>
        <v>538510</v>
      </c>
      <c r="V276" s="30">
        <f>5722342798</f>
        <v>5722342798</v>
      </c>
      <c r="W276" s="30">
        <f>2944311238</f>
        <v>2944311238</v>
      </c>
      <c r="X276" s="34">
        <f>19</f>
        <v>19</v>
      </c>
    </row>
    <row r="277" spans="1:24" x14ac:dyDescent="0.15">
      <c r="A277" s="25" t="s">
        <v>1014</v>
      </c>
      <c r="B277" s="25" t="s">
        <v>884</v>
      </c>
      <c r="C277" s="25" t="s">
        <v>885</v>
      </c>
      <c r="D277" s="25" t="s">
        <v>886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4367</f>
        <v>4367</v>
      </c>
      <c r="L277" s="32" t="s">
        <v>904</v>
      </c>
      <c r="M277" s="31">
        <f>4617</f>
        <v>4617</v>
      </c>
      <c r="N277" s="32" t="s">
        <v>810</v>
      </c>
      <c r="O277" s="31">
        <f>4070</f>
        <v>4070</v>
      </c>
      <c r="P277" s="32" t="s">
        <v>94</v>
      </c>
      <c r="Q277" s="31">
        <f>4138</f>
        <v>4138</v>
      </c>
      <c r="R277" s="32" t="s">
        <v>934</v>
      </c>
      <c r="S277" s="33">
        <f>4246.87</f>
        <v>4246.87</v>
      </c>
      <c r="T277" s="30">
        <f>384750</f>
        <v>384750</v>
      </c>
      <c r="U277" s="30">
        <f>188900</f>
        <v>188900</v>
      </c>
      <c r="V277" s="30">
        <f>1638518180</f>
        <v>1638518180</v>
      </c>
      <c r="W277" s="30">
        <f>796412930</f>
        <v>796412930</v>
      </c>
      <c r="X277" s="34">
        <f>15</f>
        <v>15</v>
      </c>
    </row>
    <row r="278" spans="1:24" x14ac:dyDescent="0.15">
      <c r="A278" s="25" t="s">
        <v>1014</v>
      </c>
      <c r="B278" s="25" t="s">
        <v>887</v>
      </c>
      <c r="C278" s="25" t="s">
        <v>888</v>
      </c>
      <c r="D278" s="25" t="s">
        <v>889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730.5</f>
        <v>730.5</v>
      </c>
      <c r="L278" s="32" t="s">
        <v>904</v>
      </c>
      <c r="M278" s="31">
        <f>738.6</f>
        <v>738.6</v>
      </c>
      <c r="N278" s="32" t="s">
        <v>810</v>
      </c>
      <c r="O278" s="31">
        <f>679.1</f>
        <v>679.1</v>
      </c>
      <c r="P278" s="32" t="s">
        <v>266</v>
      </c>
      <c r="Q278" s="31">
        <f>693.1</f>
        <v>693.1</v>
      </c>
      <c r="R278" s="32" t="s">
        <v>934</v>
      </c>
      <c r="S278" s="33">
        <f>714.18</f>
        <v>714.18</v>
      </c>
      <c r="T278" s="30">
        <f>548690</f>
        <v>548690</v>
      </c>
      <c r="U278" s="30">
        <f>420000</f>
        <v>420000</v>
      </c>
      <c r="V278" s="30">
        <f>389412524</f>
        <v>389412524</v>
      </c>
      <c r="W278" s="30">
        <f>297276000</f>
        <v>297276000</v>
      </c>
      <c r="X278" s="34">
        <f>18</f>
        <v>18</v>
      </c>
    </row>
    <row r="279" spans="1:24" x14ac:dyDescent="0.15">
      <c r="A279" s="25" t="s">
        <v>1014</v>
      </c>
      <c r="B279" s="25" t="s">
        <v>891</v>
      </c>
      <c r="C279" s="25" t="s">
        <v>892</v>
      </c>
      <c r="D279" s="25" t="s">
        <v>893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2069</f>
        <v>2069</v>
      </c>
      <c r="L279" s="32" t="s">
        <v>904</v>
      </c>
      <c r="M279" s="31">
        <f>2165</f>
        <v>2165</v>
      </c>
      <c r="N279" s="32" t="s">
        <v>56</v>
      </c>
      <c r="O279" s="31">
        <f>1968</f>
        <v>1968</v>
      </c>
      <c r="P279" s="32" t="s">
        <v>94</v>
      </c>
      <c r="Q279" s="31">
        <f>2029</f>
        <v>2029</v>
      </c>
      <c r="R279" s="32" t="s">
        <v>936</v>
      </c>
      <c r="S279" s="33">
        <f>2065.31</f>
        <v>2065.31</v>
      </c>
      <c r="T279" s="30">
        <f>4273</f>
        <v>4273</v>
      </c>
      <c r="U279" s="30" t="str">
        <f>"－"</f>
        <v>－</v>
      </c>
      <c r="V279" s="30">
        <f>8545551</f>
        <v>8545551</v>
      </c>
      <c r="W279" s="30" t="str">
        <f>"－"</f>
        <v>－</v>
      </c>
      <c r="X279" s="34">
        <f>16</f>
        <v>16</v>
      </c>
    </row>
    <row r="280" spans="1:24" x14ac:dyDescent="0.15">
      <c r="A280" s="25" t="s">
        <v>1014</v>
      </c>
      <c r="B280" s="25" t="s">
        <v>894</v>
      </c>
      <c r="C280" s="25" t="s">
        <v>895</v>
      </c>
      <c r="D280" s="25" t="s">
        <v>896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1896</f>
        <v>1896</v>
      </c>
      <c r="L280" s="32" t="s">
        <v>904</v>
      </c>
      <c r="M280" s="31">
        <f>1918</f>
        <v>1918</v>
      </c>
      <c r="N280" s="32" t="s">
        <v>56</v>
      </c>
      <c r="O280" s="31">
        <f>1719</f>
        <v>1719</v>
      </c>
      <c r="P280" s="32" t="s">
        <v>812</v>
      </c>
      <c r="Q280" s="31">
        <f>1750</f>
        <v>1750</v>
      </c>
      <c r="R280" s="32" t="s">
        <v>934</v>
      </c>
      <c r="S280" s="33">
        <f>1830.45</f>
        <v>1830.45</v>
      </c>
      <c r="T280" s="30">
        <f>5992</f>
        <v>5992</v>
      </c>
      <c r="U280" s="30" t="str">
        <f>"－"</f>
        <v>－</v>
      </c>
      <c r="V280" s="30">
        <f>10984040</f>
        <v>10984040</v>
      </c>
      <c r="W280" s="30" t="str">
        <f>"－"</f>
        <v>－</v>
      </c>
      <c r="X280" s="34">
        <f>20</f>
        <v>20</v>
      </c>
    </row>
    <row r="281" spans="1:24" x14ac:dyDescent="0.15">
      <c r="A281" s="25" t="s">
        <v>1014</v>
      </c>
      <c r="B281" s="25" t="s">
        <v>897</v>
      </c>
      <c r="C281" s="25" t="s">
        <v>898</v>
      </c>
      <c r="D281" s="25" t="s">
        <v>899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8090</f>
        <v>8090</v>
      </c>
      <c r="L281" s="32" t="s">
        <v>904</v>
      </c>
      <c r="M281" s="31">
        <f>8342</f>
        <v>8342</v>
      </c>
      <c r="N281" s="32" t="s">
        <v>912</v>
      </c>
      <c r="O281" s="31">
        <f>7880</f>
        <v>7880</v>
      </c>
      <c r="P281" s="32" t="s">
        <v>94</v>
      </c>
      <c r="Q281" s="31">
        <f>8024</f>
        <v>8024</v>
      </c>
      <c r="R281" s="32" t="s">
        <v>934</v>
      </c>
      <c r="S281" s="33">
        <f>8131.6</f>
        <v>8131.6</v>
      </c>
      <c r="T281" s="30">
        <f>171395</f>
        <v>171395</v>
      </c>
      <c r="U281" s="30">
        <f>139760</f>
        <v>139760</v>
      </c>
      <c r="V281" s="30">
        <f>1406780701</f>
        <v>1406780701</v>
      </c>
      <c r="W281" s="30">
        <f>1148239254</f>
        <v>1148239254</v>
      </c>
      <c r="X281" s="34">
        <f>20</f>
        <v>20</v>
      </c>
    </row>
    <row r="282" spans="1:24" x14ac:dyDescent="0.15">
      <c r="A282" s="25" t="s">
        <v>1014</v>
      </c>
      <c r="B282" s="25" t="s">
        <v>900</v>
      </c>
      <c r="C282" s="25" t="s">
        <v>901</v>
      </c>
      <c r="D282" s="25" t="s">
        <v>902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6493</f>
        <v>6493</v>
      </c>
      <c r="L282" s="32" t="s">
        <v>904</v>
      </c>
      <c r="M282" s="31">
        <f>6493</f>
        <v>6493</v>
      </c>
      <c r="N282" s="32" t="s">
        <v>904</v>
      </c>
      <c r="O282" s="31">
        <f>6064</f>
        <v>6064</v>
      </c>
      <c r="P282" s="32" t="s">
        <v>94</v>
      </c>
      <c r="Q282" s="31">
        <f>6064</f>
        <v>6064</v>
      </c>
      <c r="R282" s="32" t="s">
        <v>94</v>
      </c>
      <c r="S282" s="33">
        <f>6335.88</f>
        <v>6335.88</v>
      </c>
      <c r="T282" s="30">
        <f>3102</f>
        <v>3102</v>
      </c>
      <c r="U282" s="30" t="str">
        <f>"－"</f>
        <v>－</v>
      </c>
      <c r="V282" s="30">
        <f>19263035</f>
        <v>19263035</v>
      </c>
      <c r="W282" s="30" t="str">
        <f>"－"</f>
        <v>－</v>
      </c>
      <c r="X282" s="34">
        <f>16</f>
        <v>16</v>
      </c>
    </row>
    <row r="283" spans="1:24" x14ac:dyDescent="0.15">
      <c r="A283" s="25" t="s">
        <v>1014</v>
      </c>
      <c r="B283" s="25" t="s">
        <v>916</v>
      </c>
      <c r="C283" s="25" t="s">
        <v>917</v>
      </c>
      <c r="D283" s="25" t="s">
        <v>918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16010</f>
        <v>16010</v>
      </c>
      <c r="L283" s="32" t="s">
        <v>904</v>
      </c>
      <c r="M283" s="31">
        <f>17140</f>
        <v>17140</v>
      </c>
      <c r="N283" s="32" t="s">
        <v>56</v>
      </c>
      <c r="O283" s="31">
        <f>15155</f>
        <v>15155</v>
      </c>
      <c r="P283" s="32" t="s">
        <v>812</v>
      </c>
      <c r="Q283" s="31">
        <f>15195</f>
        <v>15195</v>
      </c>
      <c r="R283" s="32" t="s">
        <v>934</v>
      </c>
      <c r="S283" s="33">
        <f>16064.75</f>
        <v>16064.75</v>
      </c>
      <c r="T283" s="30">
        <f>263679</f>
        <v>263679</v>
      </c>
      <c r="U283" s="30" t="str">
        <f>"－"</f>
        <v>－</v>
      </c>
      <c r="V283" s="30">
        <f>4174286790</f>
        <v>4174286790</v>
      </c>
      <c r="W283" s="30" t="str">
        <f>"－"</f>
        <v>－</v>
      </c>
      <c r="X283" s="34">
        <f>20</f>
        <v>20</v>
      </c>
    </row>
    <row r="284" spans="1:24" x14ac:dyDescent="0.15">
      <c r="A284" s="25" t="s">
        <v>1014</v>
      </c>
      <c r="B284" s="25" t="s">
        <v>920</v>
      </c>
      <c r="C284" s="25" t="s">
        <v>921</v>
      </c>
      <c r="D284" s="25" t="s">
        <v>922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8456</f>
        <v>8456</v>
      </c>
      <c r="L284" s="32" t="s">
        <v>904</v>
      </c>
      <c r="M284" s="31">
        <f>8854</f>
        <v>8854</v>
      </c>
      <c r="N284" s="32" t="s">
        <v>56</v>
      </c>
      <c r="O284" s="31">
        <f>7659</f>
        <v>7659</v>
      </c>
      <c r="P284" s="32" t="s">
        <v>94</v>
      </c>
      <c r="Q284" s="31">
        <f>7690</f>
        <v>7690</v>
      </c>
      <c r="R284" s="32" t="s">
        <v>934</v>
      </c>
      <c r="S284" s="33">
        <f>8246</f>
        <v>8246</v>
      </c>
      <c r="T284" s="30">
        <f>437874</f>
        <v>437874</v>
      </c>
      <c r="U284" s="30" t="str">
        <f>"－"</f>
        <v>－</v>
      </c>
      <c r="V284" s="30">
        <f>3617857236</f>
        <v>3617857236</v>
      </c>
      <c r="W284" s="30" t="str">
        <f>"－"</f>
        <v>－</v>
      </c>
      <c r="X284" s="34">
        <f>20</f>
        <v>20</v>
      </c>
    </row>
    <row r="285" spans="1:24" x14ac:dyDescent="0.15">
      <c r="A285" s="25" t="s">
        <v>1014</v>
      </c>
      <c r="B285" s="25" t="s">
        <v>923</v>
      </c>
      <c r="C285" s="25" t="s">
        <v>924</v>
      </c>
      <c r="D285" s="25" t="s">
        <v>925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30560</f>
        <v>30560</v>
      </c>
      <c r="L285" s="32" t="s">
        <v>904</v>
      </c>
      <c r="M285" s="31">
        <f>33370</f>
        <v>33370</v>
      </c>
      <c r="N285" s="32" t="s">
        <v>94</v>
      </c>
      <c r="O285" s="31">
        <f>29130</f>
        <v>29130</v>
      </c>
      <c r="P285" s="32" t="s">
        <v>56</v>
      </c>
      <c r="Q285" s="31">
        <f>33180</f>
        <v>33180</v>
      </c>
      <c r="R285" s="32" t="s">
        <v>934</v>
      </c>
      <c r="S285" s="33">
        <f>31245.75</f>
        <v>31245.75</v>
      </c>
      <c r="T285" s="30">
        <f>1400579</f>
        <v>1400579</v>
      </c>
      <c r="U285" s="30">
        <f>762967</f>
        <v>762967</v>
      </c>
      <c r="V285" s="30">
        <f>43891735133</f>
        <v>43891735133</v>
      </c>
      <c r="W285" s="30">
        <f>23729183563</f>
        <v>23729183563</v>
      </c>
      <c r="X285" s="34">
        <f>20</f>
        <v>20</v>
      </c>
    </row>
    <row r="286" spans="1:24" x14ac:dyDescent="0.15">
      <c r="A286" s="25" t="s">
        <v>1014</v>
      </c>
      <c r="B286" s="25" t="s">
        <v>926</v>
      </c>
      <c r="C286" s="25" t="s">
        <v>927</v>
      </c>
      <c r="D286" s="25" t="s">
        <v>928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4443</f>
        <v>4443</v>
      </c>
      <c r="L286" s="32" t="s">
        <v>909</v>
      </c>
      <c r="M286" s="31">
        <f>4466</f>
        <v>4466</v>
      </c>
      <c r="N286" s="32" t="s">
        <v>810</v>
      </c>
      <c r="O286" s="31">
        <f>4423</f>
        <v>4423</v>
      </c>
      <c r="P286" s="32" t="s">
        <v>695</v>
      </c>
      <c r="Q286" s="31">
        <f>4430</f>
        <v>4430</v>
      </c>
      <c r="R286" s="32" t="s">
        <v>906</v>
      </c>
      <c r="S286" s="33">
        <f>4442.57</f>
        <v>4442.57</v>
      </c>
      <c r="T286" s="30">
        <f>590</f>
        <v>590</v>
      </c>
      <c r="U286" s="30" t="str">
        <f>"－"</f>
        <v>－</v>
      </c>
      <c r="V286" s="30">
        <f>2612650</f>
        <v>2612650</v>
      </c>
      <c r="W286" s="30" t="str">
        <f>"－"</f>
        <v>－</v>
      </c>
      <c r="X286" s="34">
        <f>7</f>
        <v>7</v>
      </c>
    </row>
    <row r="287" spans="1:24" x14ac:dyDescent="0.15">
      <c r="A287" s="25" t="s">
        <v>1014</v>
      </c>
      <c r="B287" s="25" t="s">
        <v>930</v>
      </c>
      <c r="C287" s="25" t="s">
        <v>931</v>
      </c>
      <c r="D287" s="25" t="s">
        <v>932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5149</f>
        <v>5149</v>
      </c>
      <c r="L287" s="32" t="s">
        <v>904</v>
      </c>
      <c r="M287" s="31">
        <f>5362</f>
        <v>5362</v>
      </c>
      <c r="N287" s="32" t="s">
        <v>56</v>
      </c>
      <c r="O287" s="31">
        <f>4845</f>
        <v>4845</v>
      </c>
      <c r="P287" s="32" t="s">
        <v>94</v>
      </c>
      <c r="Q287" s="31">
        <f>4990</f>
        <v>4990</v>
      </c>
      <c r="R287" s="32" t="s">
        <v>934</v>
      </c>
      <c r="S287" s="33">
        <f>5138.59</f>
        <v>5138.59</v>
      </c>
      <c r="T287" s="30">
        <f>804270</f>
        <v>804270</v>
      </c>
      <c r="U287" s="30">
        <f>725940</f>
        <v>725940</v>
      </c>
      <c r="V287" s="30">
        <f>4141911576</f>
        <v>4141911576</v>
      </c>
      <c r="W287" s="30">
        <f>3754172956</f>
        <v>3754172956</v>
      </c>
      <c r="X287" s="34">
        <f>17</f>
        <v>17</v>
      </c>
    </row>
    <row r="288" spans="1:24" x14ac:dyDescent="0.15">
      <c r="A288" s="25" t="s">
        <v>1014</v>
      </c>
      <c r="B288" s="25" t="s">
        <v>949</v>
      </c>
      <c r="C288" s="25" t="s">
        <v>950</v>
      </c>
      <c r="D288" s="25" t="s">
        <v>951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1760.5</f>
        <v>1760.5</v>
      </c>
      <c r="L288" s="32" t="s">
        <v>904</v>
      </c>
      <c r="M288" s="31">
        <f>1846</f>
        <v>1846</v>
      </c>
      <c r="N288" s="32" t="s">
        <v>56</v>
      </c>
      <c r="O288" s="31">
        <f>1596.5</f>
        <v>1596.5</v>
      </c>
      <c r="P288" s="32" t="s">
        <v>94</v>
      </c>
      <c r="Q288" s="31">
        <f>1603</f>
        <v>1603</v>
      </c>
      <c r="R288" s="32" t="s">
        <v>934</v>
      </c>
      <c r="S288" s="33">
        <f>1718.88</f>
        <v>1718.88</v>
      </c>
      <c r="T288" s="30">
        <f>743070</f>
        <v>743070</v>
      </c>
      <c r="U288" s="30" t="str">
        <f>"－"</f>
        <v>－</v>
      </c>
      <c r="V288" s="30">
        <f>1271580700</f>
        <v>1271580700</v>
      </c>
      <c r="W288" s="30" t="str">
        <f>"－"</f>
        <v>－</v>
      </c>
      <c r="X288" s="34">
        <f>20</f>
        <v>20</v>
      </c>
    </row>
    <row r="289" spans="1:24" x14ac:dyDescent="0.15">
      <c r="A289" s="25" t="s">
        <v>1014</v>
      </c>
      <c r="B289" s="25" t="s">
        <v>953</v>
      </c>
      <c r="C289" s="25" t="s">
        <v>954</v>
      </c>
      <c r="D289" s="25" t="s">
        <v>955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1846</f>
        <v>1846</v>
      </c>
      <c r="L289" s="32" t="s">
        <v>904</v>
      </c>
      <c r="M289" s="31">
        <f>1897.5</f>
        <v>1897.5</v>
      </c>
      <c r="N289" s="32" t="s">
        <v>56</v>
      </c>
      <c r="O289" s="31">
        <f>1678.5</f>
        <v>1678.5</v>
      </c>
      <c r="P289" s="32" t="s">
        <v>94</v>
      </c>
      <c r="Q289" s="31">
        <f>1695</f>
        <v>1695</v>
      </c>
      <c r="R289" s="32" t="s">
        <v>934</v>
      </c>
      <c r="S289" s="33">
        <f>1798.95</f>
        <v>1798.95</v>
      </c>
      <c r="T289" s="30">
        <f>2164200</f>
        <v>2164200</v>
      </c>
      <c r="U289" s="30">
        <f>1621890</f>
        <v>1621890</v>
      </c>
      <c r="V289" s="30">
        <f>3874496085</f>
        <v>3874496085</v>
      </c>
      <c r="W289" s="30">
        <f>2894902470</f>
        <v>2894902470</v>
      </c>
      <c r="X289" s="34">
        <f>20</f>
        <v>20</v>
      </c>
    </row>
    <row r="290" spans="1:24" x14ac:dyDescent="0.15">
      <c r="A290" s="25" t="s">
        <v>1014</v>
      </c>
      <c r="B290" s="25" t="s">
        <v>956</v>
      </c>
      <c r="C290" s="25" t="s">
        <v>957</v>
      </c>
      <c r="D290" s="25" t="s">
        <v>958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1565</f>
        <v>1565</v>
      </c>
      <c r="L290" s="32" t="s">
        <v>904</v>
      </c>
      <c r="M290" s="31">
        <f>1618</f>
        <v>1618</v>
      </c>
      <c r="N290" s="32" t="s">
        <v>813</v>
      </c>
      <c r="O290" s="31">
        <f>1500</f>
        <v>1500</v>
      </c>
      <c r="P290" s="32" t="s">
        <v>94</v>
      </c>
      <c r="Q290" s="31">
        <f>1512</f>
        <v>1512</v>
      </c>
      <c r="R290" s="32" t="s">
        <v>934</v>
      </c>
      <c r="S290" s="33">
        <f>1561.17</f>
        <v>1561.17</v>
      </c>
      <c r="T290" s="30">
        <f>1233</f>
        <v>1233</v>
      </c>
      <c r="U290" s="30" t="str">
        <f>"－"</f>
        <v>－</v>
      </c>
      <c r="V290" s="30">
        <f>1939922</f>
        <v>1939922</v>
      </c>
      <c r="W290" s="30" t="str">
        <f>"－"</f>
        <v>－</v>
      </c>
      <c r="X290" s="34">
        <f>18</f>
        <v>18</v>
      </c>
    </row>
    <row r="291" spans="1:24" x14ac:dyDescent="0.15">
      <c r="A291" s="25" t="s">
        <v>1014</v>
      </c>
      <c r="B291" s="25" t="s">
        <v>960</v>
      </c>
      <c r="C291" s="25" t="s">
        <v>961</v>
      </c>
      <c r="D291" s="25" t="s">
        <v>962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1547</f>
        <v>1547</v>
      </c>
      <c r="L291" s="32" t="s">
        <v>904</v>
      </c>
      <c r="M291" s="31">
        <f>1590</f>
        <v>1590</v>
      </c>
      <c r="N291" s="32" t="s">
        <v>56</v>
      </c>
      <c r="O291" s="31">
        <f>1460</f>
        <v>1460</v>
      </c>
      <c r="P291" s="32" t="s">
        <v>94</v>
      </c>
      <c r="Q291" s="31">
        <f>1470</f>
        <v>1470</v>
      </c>
      <c r="R291" s="32" t="s">
        <v>934</v>
      </c>
      <c r="S291" s="33">
        <f>1529.9</f>
        <v>1529.9</v>
      </c>
      <c r="T291" s="30">
        <f>7306</f>
        <v>7306</v>
      </c>
      <c r="U291" s="30" t="str">
        <f>"－"</f>
        <v>－</v>
      </c>
      <c r="V291" s="30">
        <f>10956379</f>
        <v>10956379</v>
      </c>
      <c r="W291" s="30" t="str">
        <f>"－"</f>
        <v>－</v>
      </c>
      <c r="X291" s="34">
        <f>20</f>
        <v>20</v>
      </c>
    </row>
    <row r="292" spans="1:24" x14ac:dyDescent="0.15">
      <c r="A292" s="25" t="s">
        <v>1014</v>
      </c>
      <c r="B292" s="25" t="s">
        <v>963</v>
      </c>
      <c r="C292" s="25" t="s">
        <v>964</v>
      </c>
      <c r="D292" s="25" t="s">
        <v>965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3140</f>
        <v>3140</v>
      </c>
      <c r="L292" s="32" t="s">
        <v>904</v>
      </c>
      <c r="M292" s="31">
        <f>3215</f>
        <v>3215</v>
      </c>
      <c r="N292" s="32" t="s">
        <v>56</v>
      </c>
      <c r="O292" s="31">
        <f>3090</f>
        <v>3090</v>
      </c>
      <c r="P292" s="32" t="s">
        <v>94</v>
      </c>
      <c r="Q292" s="31">
        <f>3155</f>
        <v>3155</v>
      </c>
      <c r="R292" s="32" t="s">
        <v>934</v>
      </c>
      <c r="S292" s="33">
        <f>3157</f>
        <v>3157</v>
      </c>
      <c r="T292" s="30">
        <f>4262</f>
        <v>4262</v>
      </c>
      <c r="U292" s="30" t="str">
        <f>"－"</f>
        <v>－</v>
      </c>
      <c r="V292" s="30">
        <f>13490520</f>
        <v>13490520</v>
      </c>
      <c r="W292" s="30" t="str">
        <f>"－"</f>
        <v>－</v>
      </c>
      <c r="X292" s="34">
        <f>20</f>
        <v>20</v>
      </c>
    </row>
    <row r="293" spans="1:24" x14ac:dyDescent="0.15">
      <c r="A293" s="25" t="s">
        <v>1014</v>
      </c>
      <c r="B293" s="25" t="s">
        <v>967</v>
      </c>
      <c r="C293" s="25" t="s">
        <v>968</v>
      </c>
      <c r="D293" s="25" t="s">
        <v>969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1993</f>
        <v>1993</v>
      </c>
      <c r="L293" s="32" t="s">
        <v>904</v>
      </c>
      <c r="M293" s="31">
        <f>2034</f>
        <v>2034</v>
      </c>
      <c r="N293" s="32" t="s">
        <v>911</v>
      </c>
      <c r="O293" s="31">
        <f>1899</f>
        <v>1899</v>
      </c>
      <c r="P293" s="32" t="s">
        <v>934</v>
      </c>
      <c r="Q293" s="31">
        <f>1899</f>
        <v>1899</v>
      </c>
      <c r="R293" s="32" t="s">
        <v>934</v>
      </c>
      <c r="S293" s="33">
        <f>1971.5</f>
        <v>1971.5</v>
      </c>
      <c r="T293" s="30">
        <f>420</f>
        <v>420</v>
      </c>
      <c r="U293" s="30" t="str">
        <f>"－"</f>
        <v>－</v>
      </c>
      <c r="V293" s="30">
        <f>821565</f>
        <v>821565</v>
      </c>
      <c r="W293" s="30" t="str">
        <f>"－"</f>
        <v>－</v>
      </c>
      <c r="X293" s="34">
        <f>9</f>
        <v>9</v>
      </c>
    </row>
    <row r="294" spans="1:24" x14ac:dyDescent="0.15">
      <c r="A294" s="25" t="s">
        <v>1014</v>
      </c>
      <c r="B294" s="25" t="s">
        <v>982</v>
      </c>
      <c r="C294" s="25" t="s">
        <v>983</v>
      </c>
      <c r="D294" s="25" t="s">
        <v>984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199.1</f>
        <v>199.1</v>
      </c>
      <c r="L294" s="32" t="s">
        <v>904</v>
      </c>
      <c r="M294" s="31">
        <f>248</f>
        <v>248</v>
      </c>
      <c r="N294" s="32" t="s">
        <v>810</v>
      </c>
      <c r="O294" s="31">
        <f>182.5</f>
        <v>182.5</v>
      </c>
      <c r="P294" s="32" t="s">
        <v>936</v>
      </c>
      <c r="Q294" s="31">
        <f>185.3</f>
        <v>185.3</v>
      </c>
      <c r="R294" s="32" t="s">
        <v>934</v>
      </c>
      <c r="S294" s="33">
        <f>196.61</f>
        <v>196.61</v>
      </c>
      <c r="T294" s="30">
        <f>32590</f>
        <v>32590</v>
      </c>
      <c r="U294" s="30" t="str">
        <f>"－"</f>
        <v>－</v>
      </c>
      <c r="V294" s="30">
        <f>6619082</f>
        <v>6619082</v>
      </c>
      <c r="W294" s="30" t="str">
        <f>"－"</f>
        <v>－</v>
      </c>
      <c r="X294" s="34">
        <f>20</f>
        <v>20</v>
      </c>
    </row>
    <row r="295" spans="1:24" x14ac:dyDescent="0.15">
      <c r="A295" s="25" t="s">
        <v>1014</v>
      </c>
      <c r="B295" s="25" t="s">
        <v>972</v>
      </c>
      <c r="C295" s="25" t="s">
        <v>973</v>
      </c>
      <c r="D295" s="25" t="s">
        <v>974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208.5</f>
        <v>208.5</v>
      </c>
      <c r="L295" s="32" t="s">
        <v>904</v>
      </c>
      <c r="M295" s="31">
        <f>209</f>
        <v>209</v>
      </c>
      <c r="N295" s="32" t="s">
        <v>904</v>
      </c>
      <c r="O295" s="31">
        <f>198</f>
        <v>198</v>
      </c>
      <c r="P295" s="32" t="s">
        <v>94</v>
      </c>
      <c r="Q295" s="31">
        <f>198</f>
        <v>198</v>
      </c>
      <c r="R295" s="32" t="s">
        <v>934</v>
      </c>
      <c r="S295" s="33">
        <f>203.39</f>
        <v>203.39</v>
      </c>
      <c r="T295" s="30">
        <f>32900</f>
        <v>32900</v>
      </c>
      <c r="U295" s="30">
        <f>14600</f>
        <v>14600</v>
      </c>
      <c r="V295" s="30">
        <f>6703118</f>
        <v>6703118</v>
      </c>
      <c r="W295" s="30">
        <f>2981320</f>
        <v>2981320</v>
      </c>
      <c r="X295" s="34">
        <f>20</f>
        <v>20</v>
      </c>
    </row>
    <row r="296" spans="1:24" x14ac:dyDescent="0.15">
      <c r="A296" s="25" t="s">
        <v>1014</v>
      </c>
      <c r="B296" s="25" t="s">
        <v>976</v>
      </c>
      <c r="C296" s="25" t="s">
        <v>977</v>
      </c>
      <c r="D296" s="25" t="s">
        <v>978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760</f>
        <v>760</v>
      </c>
      <c r="L296" s="32" t="s">
        <v>904</v>
      </c>
      <c r="M296" s="31">
        <f>760</f>
        <v>760</v>
      </c>
      <c r="N296" s="32" t="s">
        <v>904</v>
      </c>
      <c r="O296" s="31">
        <f>710</f>
        <v>710</v>
      </c>
      <c r="P296" s="32" t="s">
        <v>94</v>
      </c>
      <c r="Q296" s="31">
        <f>721.2</f>
        <v>721.2</v>
      </c>
      <c r="R296" s="32" t="s">
        <v>934</v>
      </c>
      <c r="S296" s="33">
        <f>741.84</f>
        <v>741.84</v>
      </c>
      <c r="T296" s="30">
        <f>76200</f>
        <v>76200</v>
      </c>
      <c r="U296" s="30">
        <f>73070</f>
        <v>73070</v>
      </c>
      <c r="V296" s="30">
        <f>57612308</f>
        <v>57612308</v>
      </c>
      <c r="W296" s="30">
        <f>55295927</f>
        <v>55295927</v>
      </c>
      <c r="X296" s="34">
        <f>18</f>
        <v>18</v>
      </c>
    </row>
    <row r="297" spans="1:24" x14ac:dyDescent="0.15">
      <c r="A297" s="25" t="s">
        <v>1014</v>
      </c>
      <c r="B297" s="25" t="s">
        <v>986</v>
      </c>
      <c r="C297" s="25" t="s">
        <v>987</v>
      </c>
      <c r="D297" s="25" t="s">
        <v>988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1054</f>
        <v>1054</v>
      </c>
      <c r="L297" s="32" t="s">
        <v>904</v>
      </c>
      <c r="M297" s="31">
        <f>1091</f>
        <v>1091</v>
      </c>
      <c r="N297" s="32" t="s">
        <v>56</v>
      </c>
      <c r="O297" s="31">
        <f>973</f>
        <v>973</v>
      </c>
      <c r="P297" s="32" t="s">
        <v>934</v>
      </c>
      <c r="Q297" s="31">
        <f>978</f>
        <v>978</v>
      </c>
      <c r="R297" s="32" t="s">
        <v>934</v>
      </c>
      <c r="S297" s="33">
        <f>1038.25</f>
        <v>1038.25</v>
      </c>
      <c r="T297" s="30">
        <f>84432</f>
        <v>84432</v>
      </c>
      <c r="U297" s="30" t="str">
        <f>"－"</f>
        <v>－</v>
      </c>
      <c r="V297" s="30">
        <f>87205669</f>
        <v>87205669</v>
      </c>
      <c r="W297" s="30" t="str">
        <f>"－"</f>
        <v>－</v>
      </c>
      <c r="X297" s="34">
        <f>20</f>
        <v>20</v>
      </c>
    </row>
    <row r="298" spans="1:24" x14ac:dyDescent="0.15">
      <c r="A298" s="25" t="s">
        <v>1014</v>
      </c>
      <c r="B298" s="25" t="s">
        <v>990</v>
      </c>
      <c r="C298" s="25" t="s">
        <v>991</v>
      </c>
      <c r="D298" s="25" t="s">
        <v>992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1078</f>
        <v>1078</v>
      </c>
      <c r="L298" s="32" t="s">
        <v>904</v>
      </c>
      <c r="M298" s="31">
        <f>1078</f>
        <v>1078</v>
      </c>
      <c r="N298" s="32" t="s">
        <v>904</v>
      </c>
      <c r="O298" s="31">
        <f>1000</f>
        <v>1000</v>
      </c>
      <c r="P298" s="32" t="s">
        <v>94</v>
      </c>
      <c r="Q298" s="31">
        <f>1019</f>
        <v>1019</v>
      </c>
      <c r="R298" s="32" t="s">
        <v>934</v>
      </c>
      <c r="S298" s="33">
        <f>1054.3</f>
        <v>1054.3</v>
      </c>
      <c r="T298" s="30">
        <f>78180</f>
        <v>78180</v>
      </c>
      <c r="U298" s="30">
        <f>60000</f>
        <v>60000</v>
      </c>
      <c r="V298" s="30">
        <f>80183031</f>
        <v>80183031</v>
      </c>
      <c r="W298" s="30">
        <f>61274000</f>
        <v>61274000</v>
      </c>
      <c r="X298" s="34">
        <f>20</f>
        <v>20</v>
      </c>
    </row>
    <row r="299" spans="1:24" x14ac:dyDescent="0.15">
      <c r="A299" s="25" t="s">
        <v>1014</v>
      </c>
      <c r="B299" s="25" t="s">
        <v>995</v>
      </c>
      <c r="C299" s="25" t="s">
        <v>996</v>
      </c>
      <c r="D299" s="25" t="s">
        <v>997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783.7</f>
        <v>783.7</v>
      </c>
      <c r="L299" s="32" t="s">
        <v>904</v>
      </c>
      <c r="M299" s="31">
        <f>785.7</f>
        <v>785.7</v>
      </c>
      <c r="N299" s="32" t="s">
        <v>810</v>
      </c>
      <c r="O299" s="31">
        <f>750.2</f>
        <v>750.2</v>
      </c>
      <c r="P299" s="32" t="s">
        <v>94</v>
      </c>
      <c r="Q299" s="31">
        <f>758.4</f>
        <v>758.4</v>
      </c>
      <c r="R299" s="32" t="s">
        <v>934</v>
      </c>
      <c r="S299" s="33">
        <f>771.09</f>
        <v>771.09</v>
      </c>
      <c r="T299" s="30">
        <f>597490</f>
        <v>597490</v>
      </c>
      <c r="U299" s="30">
        <f>520000</f>
        <v>520000</v>
      </c>
      <c r="V299" s="30">
        <f>459812072</f>
        <v>459812072</v>
      </c>
      <c r="W299" s="30">
        <f>400452000</f>
        <v>400452000</v>
      </c>
      <c r="X299" s="34">
        <f>20</f>
        <v>20</v>
      </c>
    </row>
    <row r="300" spans="1:24" x14ac:dyDescent="0.15">
      <c r="A300" s="25" t="s">
        <v>1014</v>
      </c>
      <c r="B300" s="25" t="s">
        <v>999</v>
      </c>
      <c r="C300" s="25" t="s">
        <v>1000</v>
      </c>
      <c r="D300" s="25" t="s">
        <v>1001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772.7</f>
        <v>772.7</v>
      </c>
      <c r="L300" s="32" t="s">
        <v>904</v>
      </c>
      <c r="M300" s="31">
        <f>779.8</f>
        <v>779.8</v>
      </c>
      <c r="N300" s="32" t="s">
        <v>810</v>
      </c>
      <c r="O300" s="31">
        <f>737.1</f>
        <v>737.1</v>
      </c>
      <c r="P300" s="32" t="s">
        <v>94</v>
      </c>
      <c r="Q300" s="31">
        <f>738.3</f>
        <v>738.3</v>
      </c>
      <c r="R300" s="32" t="s">
        <v>934</v>
      </c>
      <c r="S300" s="33">
        <f>760.05</f>
        <v>760.05</v>
      </c>
      <c r="T300" s="30">
        <f>2552170</f>
        <v>2552170</v>
      </c>
      <c r="U300" s="30">
        <f>1161550</f>
        <v>1161550</v>
      </c>
      <c r="V300" s="30">
        <f>1949499023</f>
        <v>1949499023</v>
      </c>
      <c r="W300" s="30">
        <f>887825772</f>
        <v>887825772</v>
      </c>
      <c r="X300" s="34">
        <f>20</f>
        <v>20</v>
      </c>
    </row>
    <row r="301" spans="1:24" x14ac:dyDescent="0.15">
      <c r="A301" s="25" t="s">
        <v>1014</v>
      </c>
      <c r="B301" s="25" t="s">
        <v>1002</v>
      </c>
      <c r="C301" s="25" t="s">
        <v>1003</v>
      </c>
      <c r="D301" s="25" t="s">
        <v>1004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1001</f>
        <v>1001</v>
      </c>
      <c r="L301" s="32" t="s">
        <v>904</v>
      </c>
      <c r="M301" s="31">
        <f>1021</f>
        <v>1021</v>
      </c>
      <c r="N301" s="32" t="s">
        <v>56</v>
      </c>
      <c r="O301" s="31">
        <f>950</f>
        <v>950</v>
      </c>
      <c r="P301" s="32" t="s">
        <v>94</v>
      </c>
      <c r="Q301" s="31">
        <f>957</f>
        <v>957</v>
      </c>
      <c r="R301" s="32" t="s">
        <v>934</v>
      </c>
      <c r="S301" s="33">
        <f>994.45</f>
        <v>994.45</v>
      </c>
      <c r="T301" s="30">
        <f>437832</f>
        <v>437832</v>
      </c>
      <c r="U301" s="30">
        <f>160000</f>
        <v>160000</v>
      </c>
      <c r="V301" s="30">
        <f>431588816</f>
        <v>431588816</v>
      </c>
      <c r="W301" s="30">
        <f>155488000</f>
        <v>155488000</v>
      </c>
      <c r="X301" s="34">
        <f>20</f>
        <v>20</v>
      </c>
    </row>
    <row r="302" spans="1:24" x14ac:dyDescent="0.15">
      <c r="A302" s="25" t="s">
        <v>1014</v>
      </c>
      <c r="B302" s="25" t="s">
        <v>1015</v>
      </c>
      <c r="C302" s="25" t="s">
        <v>1016</v>
      </c>
      <c r="D302" s="25" t="s">
        <v>1017</v>
      </c>
      <c r="E302" s="26" t="s">
        <v>808</v>
      </c>
      <c r="F302" s="27" t="s">
        <v>809</v>
      </c>
      <c r="G302" s="28" t="s">
        <v>1018</v>
      </c>
      <c r="H302" s="29"/>
      <c r="I302" s="29" t="s">
        <v>46</v>
      </c>
      <c r="J302" s="30">
        <v>10</v>
      </c>
      <c r="K302" s="31">
        <f>2100</f>
        <v>2100</v>
      </c>
      <c r="L302" s="32" t="s">
        <v>909</v>
      </c>
      <c r="M302" s="31">
        <f>2100</f>
        <v>2100</v>
      </c>
      <c r="N302" s="32" t="s">
        <v>909</v>
      </c>
      <c r="O302" s="31">
        <f>1822</f>
        <v>1822</v>
      </c>
      <c r="P302" s="32" t="s">
        <v>934</v>
      </c>
      <c r="Q302" s="31">
        <f>1826</f>
        <v>1826</v>
      </c>
      <c r="R302" s="32" t="s">
        <v>934</v>
      </c>
      <c r="S302" s="33">
        <f>1927</f>
        <v>1927</v>
      </c>
      <c r="T302" s="30">
        <f>28720</f>
        <v>28720</v>
      </c>
      <c r="U302" s="30" t="str">
        <f>"－"</f>
        <v>－</v>
      </c>
      <c r="V302" s="30">
        <f>55360885</f>
        <v>55360885</v>
      </c>
      <c r="W302" s="30" t="str">
        <f>"－"</f>
        <v>－</v>
      </c>
      <c r="X302" s="34">
        <f>18</f>
        <v>18</v>
      </c>
    </row>
    <row r="303" spans="1:24" x14ac:dyDescent="0.15">
      <c r="A303" s="25" t="s">
        <v>1014</v>
      </c>
      <c r="B303" s="25" t="s">
        <v>1019</v>
      </c>
      <c r="C303" s="25" t="s">
        <v>1020</v>
      </c>
      <c r="D303" s="25" t="s">
        <v>1021</v>
      </c>
      <c r="E303" s="26" t="s">
        <v>808</v>
      </c>
      <c r="F303" s="27" t="s">
        <v>809</v>
      </c>
      <c r="G303" s="28" t="s">
        <v>1018</v>
      </c>
      <c r="H303" s="29"/>
      <c r="I303" s="29" t="s">
        <v>46</v>
      </c>
      <c r="J303" s="30">
        <v>10</v>
      </c>
      <c r="K303" s="31">
        <f>2109</f>
        <v>2109</v>
      </c>
      <c r="L303" s="32" t="s">
        <v>909</v>
      </c>
      <c r="M303" s="31">
        <f>2109</f>
        <v>2109</v>
      </c>
      <c r="N303" s="32" t="s">
        <v>909</v>
      </c>
      <c r="O303" s="31">
        <f>1832</f>
        <v>1832</v>
      </c>
      <c r="P303" s="32" t="s">
        <v>934</v>
      </c>
      <c r="Q303" s="31">
        <f>1832</f>
        <v>1832</v>
      </c>
      <c r="R303" s="32" t="s">
        <v>934</v>
      </c>
      <c r="S303" s="33">
        <f>1950.44</f>
        <v>1950.44</v>
      </c>
      <c r="T303" s="30">
        <f>8750</f>
        <v>8750</v>
      </c>
      <c r="U303" s="30" t="str">
        <f>"－"</f>
        <v>－</v>
      </c>
      <c r="V303" s="30">
        <f>17001945</f>
        <v>17001945</v>
      </c>
      <c r="W303" s="30" t="str">
        <f>"－"</f>
        <v>－</v>
      </c>
      <c r="X303" s="34">
        <f>18</f>
        <v>18</v>
      </c>
    </row>
    <row r="304" spans="1:24" x14ac:dyDescent="0.15">
      <c r="A304" s="25" t="s">
        <v>1014</v>
      </c>
      <c r="B304" s="25" t="s">
        <v>1007</v>
      </c>
      <c r="C304" s="25" t="s">
        <v>1008</v>
      </c>
      <c r="D304" s="25" t="s">
        <v>1009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5018</f>
        <v>5018</v>
      </c>
      <c r="L304" s="32" t="s">
        <v>911</v>
      </c>
      <c r="M304" s="31">
        <f>5018</f>
        <v>5018</v>
      </c>
      <c r="N304" s="32" t="s">
        <v>911</v>
      </c>
      <c r="O304" s="31">
        <f>4601</f>
        <v>4601</v>
      </c>
      <c r="P304" s="32" t="s">
        <v>94</v>
      </c>
      <c r="Q304" s="31">
        <f>4752</f>
        <v>4752</v>
      </c>
      <c r="R304" s="32" t="s">
        <v>934</v>
      </c>
      <c r="S304" s="33">
        <f>4841.9</f>
        <v>4841.8999999999996</v>
      </c>
      <c r="T304" s="30">
        <f>116010</f>
        <v>116010</v>
      </c>
      <c r="U304" s="30">
        <f>113610</f>
        <v>113610</v>
      </c>
      <c r="V304" s="30">
        <f>564583390</f>
        <v>564583390</v>
      </c>
      <c r="W304" s="30">
        <f>552874820</f>
        <v>552874820</v>
      </c>
      <c r="X304" s="34">
        <f>10</f>
        <v>10</v>
      </c>
    </row>
    <row r="305" spans="1:24" x14ac:dyDescent="0.15">
      <c r="A305" s="25" t="s">
        <v>1014</v>
      </c>
      <c r="B305" s="25" t="s">
        <v>1011</v>
      </c>
      <c r="C305" s="25" t="s">
        <v>1012</v>
      </c>
      <c r="D305" s="25" t="s">
        <v>1013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4798</f>
        <v>4798</v>
      </c>
      <c r="L305" s="32" t="s">
        <v>810</v>
      </c>
      <c r="M305" s="31">
        <f>4798</f>
        <v>4798</v>
      </c>
      <c r="N305" s="32" t="s">
        <v>810</v>
      </c>
      <c r="O305" s="31">
        <f>4531</f>
        <v>4531</v>
      </c>
      <c r="P305" s="32" t="s">
        <v>934</v>
      </c>
      <c r="Q305" s="31">
        <f>4531</f>
        <v>4531</v>
      </c>
      <c r="R305" s="32" t="s">
        <v>934</v>
      </c>
      <c r="S305" s="33">
        <f>4655</f>
        <v>4655</v>
      </c>
      <c r="T305" s="30">
        <f>537070</f>
        <v>537070</v>
      </c>
      <c r="U305" s="30">
        <f>537000</f>
        <v>537000</v>
      </c>
      <c r="V305" s="30">
        <f>2500716854</f>
        <v>2500716854</v>
      </c>
      <c r="W305" s="30">
        <f>2500390364</f>
        <v>2500390364</v>
      </c>
      <c r="X305" s="34">
        <f>6</f>
        <v>6</v>
      </c>
    </row>
    <row r="306" spans="1:24" x14ac:dyDescent="0.15">
      <c r="A306" s="25" t="s">
        <v>1014</v>
      </c>
      <c r="B306" s="25" t="s">
        <v>1022</v>
      </c>
      <c r="C306" s="25" t="s">
        <v>1023</v>
      </c>
      <c r="D306" s="25" t="s">
        <v>1024</v>
      </c>
      <c r="E306" s="26" t="s">
        <v>808</v>
      </c>
      <c r="F306" s="27" t="s">
        <v>809</v>
      </c>
      <c r="G306" s="28" t="s">
        <v>1025</v>
      </c>
      <c r="H306" s="29"/>
      <c r="I306" s="29" t="s">
        <v>46</v>
      </c>
      <c r="J306" s="30">
        <v>10</v>
      </c>
      <c r="K306" s="31">
        <f>2010.5</f>
        <v>2010.5</v>
      </c>
      <c r="L306" s="32" t="s">
        <v>906</v>
      </c>
      <c r="M306" s="31">
        <f>2010.5</f>
        <v>2010.5</v>
      </c>
      <c r="N306" s="32" t="s">
        <v>906</v>
      </c>
      <c r="O306" s="31">
        <f>1889.5</f>
        <v>1889.5</v>
      </c>
      <c r="P306" s="32" t="s">
        <v>94</v>
      </c>
      <c r="Q306" s="31">
        <f>1935.5</f>
        <v>1935.5</v>
      </c>
      <c r="R306" s="32" t="s">
        <v>936</v>
      </c>
      <c r="S306" s="33">
        <f>1951.5</f>
        <v>1951.5</v>
      </c>
      <c r="T306" s="30">
        <f>4440</f>
        <v>4440</v>
      </c>
      <c r="U306" s="30" t="str">
        <f>"－"</f>
        <v>－</v>
      </c>
      <c r="V306" s="30">
        <f>8617105</f>
        <v>8617105</v>
      </c>
      <c r="W306" s="30" t="str">
        <f>"－"</f>
        <v>－</v>
      </c>
      <c r="X306" s="34">
        <f>8</f>
        <v>8</v>
      </c>
    </row>
    <row r="307" spans="1:24" x14ac:dyDescent="0.15">
      <c r="A307" s="25" t="s">
        <v>1014</v>
      </c>
      <c r="B307" s="25" t="s">
        <v>1026</v>
      </c>
      <c r="C307" s="25" t="s">
        <v>1027</v>
      </c>
      <c r="D307" s="25" t="s">
        <v>1028</v>
      </c>
      <c r="E307" s="26" t="s">
        <v>808</v>
      </c>
      <c r="F307" s="27" t="s">
        <v>809</v>
      </c>
      <c r="G307" s="28" t="s">
        <v>1029</v>
      </c>
      <c r="H307" s="29"/>
      <c r="I307" s="29" t="s">
        <v>46</v>
      </c>
      <c r="J307" s="30">
        <v>1</v>
      </c>
      <c r="K307" s="31">
        <f>1045</f>
        <v>1045</v>
      </c>
      <c r="L307" s="32" t="s">
        <v>934</v>
      </c>
      <c r="M307" s="31">
        <f>1045</f>
        <v>1045</v>
      </c>
      <c r="N307" s="32" t="s">
        <v>934</v>
      </c>
      <c r="O307" s="31">
        <f>981</f>
        <v>981</v>
      </c>
      <c r="P307" s="32" t="s">
        <v>934</v>
      </c>
      <c r="Q307" s="31">
        <f>982</f>
        <v>982</v>
      </c>
      <c r="R307" s="32" t="s">
        <v>934</v>
      </c>
      <c r="S307" s="33">
        <f>982</f>
        <v>982</v>
      </c>
      <c r="T307" s="30">
        <f>996</f>
        <v>996</v>
      </c>
      <c r="U307" s="30" t="str">
        <f>"－"</f>
        <v>－</v>
      </c>
      <c r="V307" s="30">
        <f>989119</f>
        <v>989119</v>
      </c>
      <c r="W307" s="30" t="str">
        <f>"－"</f>
        <v>－</v>
      </c>
      <c r="X307" s="34">
        <f>1</f>
        <v>1</v>
      </c>
    </row>
    <row r="308" spans="1:24" x14ac:dyDescent="0.15">
      <c r="A308" s="25" t="s">
        <v>1014</v>
      </c>
      <c r="B308" s="25" t="s">
        <v>1030</v>
      </c>
      <c r="C308" s="25" t="s">
        <v>1031</v>
      </c>
      <c r="D308" s="25" t="s">
        <v>1032</v>
      </c>
      <c r="E308" s="26" t="s">
        <v>808</v>
      </c>
      <c r="F308" s="27" t="s">
        <v>809</v>
      </c>
      <c r="G308" s="28" t="s">
        <v>1029</v>
      </c>
      <c r="H308" s="29"/>
      <c r="I308" s="29" t="s">
        <v>46</v>
      </c>
      <c r="J308" s="30">
        <v>1</v>
      </c>
      <c r="K308" s="31">
        <f>1074</f>
        <v>1074</v>
      </c>
      <c r="L308" s="32" t="s">
        <v>934</v>
      </c>
      <c r="M308" s="31">
        <f>1149</f>
        <v>1149</v>
      </c>
      <c r="N308" s="32" t="s">
        <v>934</v>
      </c>
      <c r="O308" s="31">
        <f>980</f>
        <v>980</v>
      </c>
      <c r="P308" s="32" t="s">
        <v>934</v>
      </c>
      <c r="Q308" s="31">
        <f>987</f>
        <v>987</v>
      </c>
      <c r="R308" s="32" t="s">
        <v>934</v>
      </c>
      <c r="S308" s="33">
        <f>987</f>
        <v>987</v>
      </c>
      <c r="T308" s="30">
        <f>215384</f>
        <v>215384</v>
      </c>
      <c r="U308" s="30">
        <f>130000</f>
        <v>130000</v>
      </c>
      <c r="V308" s="30">
        <f>215785193</f>
        <v>215785193</v>
      </c>
      <c r="W308" s="30">
        <f>130065000</f>
        <v>130065000</v>
      </c>
      <c r="X308" s="34">
        <f>1</f>
        <v>1</v>
      </c>
    </row>
    <row r="309" spans="1:24" x14ac:dyDescent="0.15">
      <c r="A309" s="25" t="s">
        <v>1014</v>
      </c>
      <c r="B309" s="25" t="s">
        <v>1033</v>
      </c>
      <c r="C309" s="25" t="s">
        <v>1034</v>
      </c>
      <c r="D309" s="25" t="s">
        <v>1035</v>
      </c>
      <c r="E309" s="26" t="s">
        <v>808</v>
      </c>
      <c r="F309" s="27" t="s">
        <v>809</v>
      </c>
      <c r="G309" s="28" t="s">
        <v>1029</v>
      </c>
      <c r="H309" s="29"/>
      <c r="I309" s="29" t="s">
        <v>46</v>
      </c>
      <c r="J309" s="30">
        <v>1</v>
      </c>
      <c r="K309" s="31">
        <f>1000</f>
        <v>1000</v>
      </c>
      <c r="L309" s="32" t="s">
        <v>934</v>
      </c>
      <c r="M309" s="31">
        <f>1002</f>
        <v>1002</v>
      </c>
      <c r="N309" s="32" t="s">
        <v>934</v>
      </c>
      <c r="O309" s="31">
        <f>995</f>
        <v>995</v>
      </c>
      <c r="P309" s="32" t="s">
        <v>934</v>
      </c>
      <c r="Q309" s="31">
        <f>997</f>
        <v>997</v>
      </c>
      <c r="R309" s="32" t="s">
        <v>934</v>
      </c>
      <c r="S309" s="33">
        <f>997</f>
        <v>997</v>
      </c>
      <c r="T309" s="30">
        <f>43021</f>
        <v>43021</v>
      </c>
      <c r="U309" s="30" t="str">
        <f>"－"</f>
        <v>－</v>
      </c>
      <c r="V309" s="30">
        <f>42955823</f>
        <v>42955823</v>
      </c>
      <c r="W309" s="30" t="str">
        <f>"－"</f>
        <v>－</v>
      </c>
      <c r="X309" s="34">
        <f>1</f>
        <v>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69EF-FA5D-427B-9B78-B27879F8073E}">
  <sheetPr>
    <pageSetUpPr fitToPage="1"/>
  </sheetPr>
  <dimension ref="A1:X303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8.75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1006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2024.5</f>
        <v>2024.5</v>
      </c>
      <c r="L7" s="32" t="s">
        <v>904</v>
      </c>
      <c r="M7" s="31">
        <f>2092</f>
        <v>2092</v>
      </c>
      <c r="N7" s="32" t="s">
        <v>819</v>
      </c>
      <c r="O7" s="31">
        <f>2004</f>
        <v>2004</v>
      </c>
      <c r="P7" s="32" t="s">
        <v>909</v>
      </c>
      <c r="Q7" s="31">
        <f>2046</f>
        <v>2046</v>
      </c>
      <c r="R7" s="32" t="s">
        <v>818</v>
      </c>
      <c r="S7" s="33">
        <f>2047.02</f>
        <v>2047.02</v>
      </c>
      <c r="T7" s="30">
        <f>8809750</f>
        <v>8809750</v>
      </c>
      <c r="U7" s="30">
        <f>3751250</f>
        <v>3751250</v>
      </c>
      <c r="V7" s="30">
        <f>18062050009</f>
        <v>18062050009</v>
      </c>
      <c r="W7" s="30">
        <f>7678598999</f>
        <v>7678598999</v>
      </c>
      <c r="X7" s="34">
        <f>22</f>
        <v>22</v>
      </c>
    </row>
    <row r="8" spans="1:24" x14ac:dyDescent="0.15">
      <c r="A8" s="25" t="s">
        <v>1006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2001</f>
        <v>2001</v>
      </c>
      <c r="L8" s="32" t="s">
        <v>904</v>
      </c>
      <c r="M8" s="31">
        <f>2068.5</f>
        <v>2068.5</v>
      </c>
      <c r="N8" s="32" t="s">
        <v>819</v>
      </c>
      <c r="O8" s="31">
        <f>1982</f>
        <v>1982</v>
      </c>
      <c r="P8" s="32" t="s">
        <v>909</v>
      </c>
      <c r="Q8" s="31">
        <f>2044</f>
        <v>2044</v>
      </c>
      <c r="R8" s="32" t="s">
        <v>818</v>
      </c>
      <c r="S8" s="33">
        <f>2025.48</f>
        <v>2025.48</v>
      </c>
      <c r="T8" s="30">
        <f>70913060</f>
        <v>70913060</v>
      </c>
      <c r="U8" s="30">
        <f>30382280</f>
        <v>30382280</v>
      </c>
      <c r="V8" s="30">
        <f>143144936237</f>
        <v>143144936237</v>
      </c>
      <c r="W8" s="30">
        <f>61176013002</f>
        <v>61176013002</v>
      </c>
      <c r="X8" s="34">
        <f>22</f>
        <v>22</v>
      </c>
    </row>
    <row r="9" spans="1:24" x14ac:dyDescent="0.15">
      <c r="A9" s="25" t="s">
        <v>1006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1979.5</f>
        <v>1979.5</v>
      </c>
      <c r="L9" s="32" t="s">
        <v>904</v>
      </c>
      <c r="M9" s="31">
        <f>2044</f>
        <v>2044</v>
      </c>
      <c r="N9" s="32" t="s">
        <v>819</v>
      </c>
      <c r="O9" s="31">
        <f>1960</f>
        <v>1960</v>
      </c>
      <c r="P9" s="32" t="s">
        <v>909</v>
      </c>
      <c r="Q9" s="31">
        <f>2000</f>
        <v>2000</v>
      </c>
      <c r="R9" s="32" t="s">
        <v>818</v>
      </c>
      <c r="S9" s="33">
        <f>2000.82</f>
        <v>2000.82</v>
      </c>
      <c r="T9" s="30">
        <f>6729300</f>
        <v>6729300</v>
      </c>
      <c r="U9" s="30">
        <f>1517500</f>
        <v>1517500</v>
      </c>
      <c r="V9" s="30">
        <f>13538343660</f>
        <v>13538343660</v>
      </c>
      <c r="W9" s="30">
        <f>3067413410</f>
        <v>3067413410</v>
      </c>
      <c r="X9" s="34">
        <f>22</f>
        <v>22</v>
      </c>
    </row>
    <row r="10" spans="1:24" x14ac:dyDescent="0.15">
      <c r="A10" s="25" t="s">
        <v>1006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42840</f>
        <v>42840</v>
      </c>
      <c r="L10" s="32" t="s">
        <v>904</v>
      </c>
      <c r="M10" s="31">
        <f>43100</f>
        <v>43100</v>
      </c>
      <c r="N10" s="32" t="s">
        <v>904</v>
      </c>
      <c r="O10" s="31">
        <f>40600</f>
        <v>40600</v>
      </c>
      <c r="P10" s="32" t="s">
        <v>909</v>
      </c>
      <c r="Q10" s="31">
        <f>42500</f>
        <v>42500</v>
      </c>
      <c r="R10" s="32" t="s">
        <v>818</v>
      </c>
      <c r="S10" s="33">
        <f>41977.27</f>
        <v>41977.27</v>
      </c>
      <c r="T10" s="30">
        <f>2296</f>
        <v>2296</v>
      </c>
      <c r="U10" s="30" t="str">
        <f>"－"</f>
        <v>－</v>
      </c>
      <c r="V10" s="30">
        <f>95964210</f>
        <v>95964210</v>
      </c>
      <c r="W10" s="30" t="str">
        <f>"－"</f>
        <v>－</v>
      </c>
      <c r="X10" s="34">
        <f>22</f>
        <v>22</v>
      </c>
    </row>
    <row r="11" spans="1:24" x14ac:dyDescent="0.15">
      <c r="A11" s="25" t="s">
        <v>1006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931</f>
        <v>931</v>
      </c>
      <c r="L11" s="32" t="s">
        <v>904</v>
      </c>
      <c r="M11" s="31">
        <f>963</f>
        <v>963</v>
      </c>
      <c r="N11" s="32" t="s">
        <v>819</v>
      </c>
      <c r="O11" s="31">
        <f>914.3</f>
        <v>914.3</v>
      </c>
      <c r="P11" s="32" t="s">
        <v>815</v>
      </c>
      <c r="Q11" s="31">
        <f>934.1</f>
        <v>934.1</v>
      </c>
      <c r="R11" s="32" t="s">
        <v>818</v>
      </c>
      <c r="S11" s="33">
        <f>939.3</f>
        <v>939.3</v>
      </c>
      <c r="T11" s="30">
        <f>88130</f>
        <v>88130</v>
      </c>
      <c r="U11" s="30" t="str">
        <f>"－"</f>
        <v>－</v>
      </c>
      <c r="V11" s="30">
        <f>83137049</f>
        <v>83137049</v>
      </c>
      <c r="W11" s="30" t="str">
        <f>"－"</f>
        <v>－</v>
      </c>
      <c r="X11" s="34">
        <f>22</f>
        <v>22</v>
      </c>
    </row>
    <row r="12" spans="1:24" x14ac:dyDescent="0.15">
      <c r="A12" s="25" t="s">
        <v>1006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19600</f>
        <v>19600</v>
      </c>
      <c r="L12" s="32" t="s">
        <v>904</v>
      </c>
      <c r="M12" s="31">
        <f>20435</f>
        <v>20435</v>
      </c>
      <c r="N12" s="32" t="s">
        <v>915</v>
      </c>
      <c r="O12" s="31">
        <f>19135</f>
        <v>19135</v>
      </c>
      <c r="P12" s="32" t="s">
        <v>936</v>
      </c>
      <c r="Q12" s="31">
        <f>19760</f>
        <v>19760</v>
      </c>
      <c r="R12" s="32" t="s">
        <v>818</v>
      </c>
      <c r="S12" s="33">
        <f>19872.95</f>
        <v>19872.95</v>
      </c>
      <c r="T12" s="30">
        <f>874</f>
        <v>874</v>
      </c>
      <c r="U12" s="30" t="str">
        <f>"－"</f>
        <v>－</v>
      </c>
      <c r="V12" s="30">
        <f>17342735</f>
        <v>17342735</v>
      </c>
      <c r="W12" s="30" t="str">
        <f>"－"</f>
        <v>－</v>
      </c>
      <c r="X12" s="34">
        <f>22</f>
        <v>22</v>
      </c>
    </row>
    <row r="13" spans="1:24" x14ac:dyDescent="0.15">
      <c r="A13" s="25" t="s">
        <v>1006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3243</f>
        <v>3243</v>
      </c>
      <c r="L13" s="32" t="s">
        <v>904</v>
      </c>
      <c r="M13" s="31">
        <f>3739</f>
        <v>3739</v>
      </c>
      <c r="N13" s="32" t="s">
        <v>911</v>
      </c>
      <c r="O13" s="31">
        <f>3222</f>
        <v>3222</v>
      </c>
      <c r="P13" s="32" t="s">
        <v>907</v>
      </c>
      <c r="Q13" s="31">
        <f>3376</f>
        <v>3376</v>
      </c>
      <c r="R13" s="32" t="s">
        <v>934</v>
      </c>
      <c r="S13" s="33">
        <f>3334.93</f>
        <v>3334.93</v>
      </c>
      <c r="T13" s="30">
        <f>1200</f>
        <v>1200</v>
      </c>
      <c r="U13" s="30">
        <f>10</f>
        <v>10</v>
      </c>
      <c r="V13" s="30">
        <f>4093750</f>
        <v>4093750</v>
      </c>
      <c r="W13" s="30">
        <f>33700</f>
        <v>33700</v>
      </c>
      <c r="X13" s="34">
        <f>14</f>
        <v>14</v>
      </c>
    </row>
    <row r="14" spans="1:24" x14ac:dyDescent="0.15">
      <c r="A14" s="25" t="s">
        <v>1006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357.4</f>
        <v>357.4</v>
      </c>
      <c r="L14" s="32" t="s">
        <v>909</v>
      </c>
      <c r="M14" s="31">
        <f>359.5</f>
        <v>359.5</v>
      </c>
      <c r="N14" s="32" t="s">
        <v>912</v>
      </c>
      <c r="O14" s="31">
        <f>347.2</f>
        <v>347.2</v>
      </c>
      <c r="P14" s="32" t="s">
        <v>818</v>
      </c>
      <c r="Q14" s="31">
        <f>353</f>
        <v>353</v>
      </c>
      <c r="R14" s="32" t="s">
        <v>818</v>
      </c>
      <c r="S14" s="33">
        <f>356.61</f>
        <v>356.61</v>
      </c>
      <c r="T14" s="30">
        <f>31000</f>
        <v>31000</v>
      </c>
      <c r="U14" s="30">
        <f>1000</f>
        <v>1000</v>
      </c>
      <c r="V14" s="30">
        <f>10999000</f>
        <v>10999000</v>
      </c>
      <c r="W14" s="30">
        <f>353300</f>
        <v>353300</v>
      </c>
      <c r="X14" s="34">
        <f>10</f>
        <v>10</v>
      </c>
    </row>
    <row r="15" spans="1:24" x14ac:dyDescent="0.15">
      <c r="A15" s="25" t="s">
        <v>1006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28395</f>
        <v>28395</v>
      </c>
      <c r="L15" s="32" t="s">
        <v>904</v>
      </c>
      <c r="M15" s="31">
        <f>29830</f>
        <v>29830</v>
      </c>
      <c r="N15" s="32" t="s">
        <v>819</v>
      </c>
      <c r="O15" s="31">
        <f>28115</f>
        <v>28115</v>
      </c>
      <c r="P15" s="32" t="s">
        <v>909</v>
      </c>
      <c r="Q15" s="31">
        <f>28745</f>
        <v>28745</v>
      </c>
      <c r="R15" s="32" t="s">
        <v>818</v>
      </c>
      <c r="S15" s="33">
        <f>28948.64</f>
        <v>28948.639999999999</v>
      </c>
      <c r="T15" s="30">
        <f>1727299</f>
        <v>1727299</v>
      </c>
      <c r="U15" s="30">
        <f>681030</f>
        <v>681030</v>
      </c>
      <c r="V15" s="30">
        <f>50458847440</f>
        <v>50458847440</v>
      </c>
      <c r="W15" s="30">
        <f>20057704850</f>
        <v>20057704850</v>
      </c>
      <c r="X15" s="34">
        <f>22</f>
        <v>22</v>
      </c>
    </row>
    <row r="16" spans="1:24" x14ac:dyDescent="0.15">
      <c r="A16" s="25" t="s">
        <v>1006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28500</f>
        <v>28500</v>
      </c>
      <c r="L16" s="32" t="s">
        <v>904</v>
      </c>
      <c r="M16" s="31">
        <f>29925</f>
        <v>29925</v>
      </c>
      <c r="N16" s="32" t="s">
        <v>819</v>
      </c>
      <c r="O16" s="31">
        <f>28205</f>
        <v>28205</v>
      </c>
      <c r="P16" s="32" t="s">
        <v>909</v>
      </c>
      <c r="Q16" s="31">
        <f>28795</f>
        <v>28795</v>
      </c>
      <c r="R16" s="32" t="s">
        <v>818</v>
      </c>
      <c r="S16" s="33">
        <f>29037.27</f>
        <v>29037.27</v>
      </c>
      <c r="T16" s="30">
        <f>5153856</f>
        <v>5153856</v>
      </c>
      <c r="U16" s="30">
        <f>636530</f>
        <v>636530</v>
      </c>
      <c r="V16" s="30">
        <f>149733393724</f>
        <v>149733393724</v>
      </c>
      <c r="W16" s="30">
        <f>18494323444</f>
        <v>18494323444</v>
      </c>
      <c r="X16" s="34">
        <f>22</f>
        <v>22</v>
      </c>
    </row>
    <row r="17" spans="1:24" x14ac:dyDescent="0.15">
      <c r="A17" s="25" t="s">
        <v>1006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8120</f>
        <v>8120</v>
      </c>
      <c r="L17" s="32" t="s">
        <v>904</v>
      </c>
      <c r="M17" s="31">
        <f>8390</f>
        <v>8390</v>
      </c>
      <c r="N17" s="32" t="s">
        <v>935</v>
      </c>
      <c r="O17" s="31">
        <f>7813</f>
        <v>7813</v>
      </c>
      <c r="P17" s="32" t="s">
        <v>909</v>
      </c>
      <c r="Q17" s="31">
        <f>8065</f>
        <v>8065</v>
      </c>
      <c r="R17" s="32" t="s">
        <v>818</v>
      </c>
      <c r="S17" s="33">
        <f>8159.55</f>
        <v>8159.55</v>
      </c>
      <c r="T17" s="30">
        <f>5720</f>
        <v>5720</v>
      </c>
      <c r="U17" s="30" t="str">
        <f>"－"</f>
        <v>－</v>
      </c>
      <c r="V17" s="30">
        <f>46693450</f>
        <v>46693450</v>
      </c>
      <c r="W17" s="30" t="str">
        <f>"－"</f>
        <v>－</v>
      </c>
      <c r="X17" s="34">
        <f>22</f>
        <v>22</v>
      </c>
    </row>
    <row r="18" spans="1:24" x14ac:dyDescent="0.15">
      <c r="A18" s="25" t="s">
        <v>1006</v>
      </c>
      <c r="B18" s="25" t="s">
        <v>84</v>
      </c>
      <c r="C18" s="25" t="s">
        <v>980</v>
      </c>
      <c r="D18" s="25" t="s">
        <v>981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x14ac:dyDescent="0.15">
      <c r="A19" s="25" t="s">
        <v>1006</v>
      </c>
      <c r="B19" s="25" t="s">
        <v>88</v>
      </c>
      <c r="C19" s="25" t="s">
        <v>89</v>
      </c>
      <c r="D19" s="25" t="s">
        <v>90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185</f>
        <v>185</v>
      </c>
      <c r="L19" s="32" t="s">
        <v>904</v>
      </c>
      <c r="M19" s="31">
        <f>208.7</f>
        <v>208.7</v>
      </c>
      <c r="N19" s="32" t="s">
        <v>818</v>
      </c>
      <c r="O19" s="31">
        <f>181</f>
        <v>181</v>
      </c>
      <c r="P19" s="32" t="s">
        <v>909</v>
      </c>
      <c r="Q19" s="31">
        <f>207.5</f>
        <v>207.5</v>
      </c>
      <c r="R19" s="32" t="s">
        <v>818</v>
      </c>
      <c r="S19" s="33">
        <f>194.23</f>
        <v>194.23</v>
      </c>
      <c r="T19" s="30">
        <f>470900</f>
        <v>470900</v>
      </c>
      <c r="U19" s="30">
        <f>100</f>
        <v>100</v>
      </c>
      <c r="V19" s="30">
        <f>91737580</f>
        <v>91737580</v>
      </c>
      <c r="W19" s="30">
        <f>20020</f>
        <v>20020</v>
      </c>
      <c r="X19" s="34">
        <f>22</f>
        <v>22</v>
      </c>
    </row>
    <row r="20" spans="1:24" x14ac:dyDescent="0.15">
      <c r="A20" s="25" t="s">
        <v>1006</v>
      </c>
      <c r="B20" s="25" t="s">
        <v>91</v>
      </c>
      <c r="C20" s="25" t="s">
        <v>92</v>
      </c>
      <c r="D20" s="25" t="s">
        <v>93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21900</f>
        <v>21900</v>
      </c>
      <c r="L20" s="32" t="s">
        <v>904</v>
      </c>
      <c r="M20" s="31">
        <f>22605</f>
        <v>22605</v>
      </c>
      <c r="N20" s="32" t="s">
        <v>905</v>
      </c>
      <c r="O20" s="31">
        <f>21560</f>
        <v>21560</v>
      </c>
      <c r="P20" s="32" t="s">
        <v>909</v>
      </c>
      <c r="Q20" s="31">
        <f>22225</f>
        <v>22225</v>
      </c>
      <c r="R20" s="32" t="s">
        <v>818</v>
      </c>
      <c r="S20" s="33">
        <f>22213.86</f>
        <v>22213.86</v>
      </c>
      <c r="T20" s="30">
        <f>208361</f>
        <v>208361</v>
      </c>
      <c r="U20" s="30" t="str">
        <f>"－"</f>
        <v>－</v>
      </c>
      <c r="V20" s="30">
        <f>4595390775</f>
        <v>4595390775</v>
      </c>
      <c r="W20" s="30" t="str">
        <f>"－"</f>
        <v>－</v>
      </c>
      <c r="X20" s="34">
        <f>22</f>
        <v>22</v>
      </c>
    </row>
    <row r="21" spans="1:24" x14ac:dyDescent="0.15">
      <c r="A21" s="25" t="s">
        <v>1006</v>
      </c>
      <c r="B21" s="25" t="s">
        <v>95</v>
      </c>
      <c r="C21" s="25" t="s">
        <v>96</v>
      </c>
      <c r="D21" s="25" t="s">
        <v>97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5893</f>
        <v>5893</v>
      </c>
      <c r="L21" s="32" t="s">
        <v>904</v>
      </c>
      <c r="M21" s="31">
        <f>6100</f>
        <v>6100</v>
      </c>
      <c r="N21" s="32" t="s">
        <v>810</v>
      </c>
      <c r="O21" s="31">
        <f>5806</f>
        <v>5806</v>
      </c>
      <c r="P21" s="32" t="s">
        <v>909</v>
      </c>
      <c r="Q21" s="31">
        <f>5977</f>
        <v>5977</v>
      </c>
      <c r="R21" s="32" t="s">
        <v>818</v>
      </c>
      <c r="S21" s="33">
        <f>5970.73</f>
        <v>5970.73</v>
      </c>
      <c r="T21" s="30">
        <f>444180</f>
        <v>444180</v>
      </c>
      <c r="U21" s="30">
        <f>181810</f>
        <v>181810</v>
      </c>
      <c r="V21" s="30">
        <f>2627654920</f>
        <v>2627654920</v>
      </c>
      <c r="W21" s="30">
        <f>1072110810</f>
        <v>1072110810</v>
      </c>
      <c r="X21" s="34">
        <f>22</f>
        <v>22</v>
      </c>
    </row>
    <row r="22" spans="1:24" x14ac:dyDescent="0.15">
      <c r="A22" s="25" t="s">
        <v>1006</v>
      </c>
      <c r="B22" s="25" t="s">
        <v>98</v>
      </c>
      <c r="C22" s="25" t="s">
        <v>99</v>
      </c>
      <c r="D22" s="25" t="s">
        <v>100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28930</f>
        <v>28930</v>
      </c>
      <c r="L22" s="32" t="s">
        <v>904</v>
      </c>
      <c r="M22" s="31">
        <f>30080</f>
        <v>30080</v>
      </c>
      <c r="N22" s="32" t="s">
        <v>819</v>
      </c>
      <c r="O22" s="31">
        <f>28555</f>
        <v>28555</v>
      </c>
      <c r="P22" s="32" t="s">
        <v>905</v>
      </c>
      <c r="Q22" s="31">
        <f>28945</f>
        <v>28945</v>
      </c>
      <c r="R22" s="32" t="s">
        <v>818</v>
      </c>
      <c r="S22" s="33">
        <f>29259.32</f>
        <v>29259.32</v>
      </c>
      <c r="T22" s="30">
        <f>448497</f>
        <v>448497</v>
      </c>
      <c r="U22" s="30">
        <f>78782</f>
        <v>78782</v>
      </c>
      <c r="V22" s="30">
        <f>13158059418</f>
        <v>13158059418</v>
      </c>
      <c r="W22" s="30">
        <f>2319780268</f>
        <v>2319780268</v>
      </c>
      <c r="X22" s="34">
        <f>22</f>
        <v>22</v>
      </c>
    </row>
    <row r="23" spans="1:24" x14ac:dyDescent="0.15">
      <c r="A23" s="25" t="s">
        <v>1006</v>
      </c>
      <c r="B23" s="25" t="s">
        <v>101</v>
      </c>
      <c r="C23" s="25" t="s">
        <v>102</v>
      </c>
      <c r="D23" s="25" t="s">
        <v>103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28510</f>
        <v>28510</v>
      </c>
      <c r="L23" s="32" t="s">
        <v>904</v>
      </c>
      <c r="M23" s="31">
        <f>29955</f>
        <v>29955</v>
      </c>
      <c r="N23" s="32" t="s">
        <v>819</v>
      </c>
      <c r="O23" s="31">
        <f>28230</f>
        <v>28230</v>
      </c>
      <c r="P23" s="32" t="s">
        <v>909</v>
      </c>
      <c r="Q23" s="31">
        <f>28820</f>
        <v>28820</v>
      </c>
      <c r="R23" s="32" t="s">
        <v>818</v>
      </c>
      <c r="S23" s="33">
        <f>29071.82</f>
        <v>29071.82</v>
      </c>
      <c r="T23" s="30">
        <f>1238740</f>
        <v>1238740</v>
      </c>
      <c r="U23" s="30">
        <f>329840</f>
        <v>329840</v>
      </c>
      <c r="V23" s="30">
        <f>36191169982</f>
        <v>36191169982</v>
      </c>
      <c r="W23" s="30">
        <f>9706921332</f>
        <v>9706921332</v>
      </c>
      <c r="X23" s="34">
        <f>22</f>
        <v>22</v>
      </c>
    </row>
    <row r="24" spans="1:24" x14ac:dyDescent="0.15">
      <c r="A24" s="25" t="s">
        <v>1006</v>
      </c>
      <c r="B24" s="25" t="s">
        <v>104</v>
      </c>
      <c r="C24" s="25" t="s">
        <v>105</v>
      </c>
      <c r="D24" s="25" t="s">
        <v>106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2189</f>
        <v>2189</v>
      </c>
      <c r="L24" s="32" t="s">
        <v>904</v>
      </c>
      <c r="M24" s="31">
        <f>2200</f>
        <v>2200</v>
      </c>
      <c r="N24" s="32" t="s">
        <v>904</v>
      </c>
      <c r="O24" s="31">
        <f>2146.5</f>
        <v>2146.5</v>
      </c>
      <c r="P24" s="32" t="s">
        <v>905</v>
      </c>
      <c r="Q24" s="31">
        <f>2188.5</f>
        <v>2188.5</v>
      </c>
      <c r="R24" s="32" t="s">
        <v>818</v>
      </c>
      <c r="S24" s="33">
        <f>2171.27</f>
        <v>2171.27</v>
      </c>
      <c r="T24" s="30">
        <f>6751790</f>
        <v>6751790</v>
      </c>
      <c r="U24" s="30">
        <f>2596150</f>
        <v>2596150</v>
      </c>
      <c r="V24" s="30">
        <f>14691480383</f>
        <v>14691480383</v>
      </c>
      <c r="W24" s="30">
        <f>5653486158</f>
        <v>5653486158</v>
      </c>
      <c r="X24" s="34">
        <f>22</f>
        <v>22</v>
      </c>
    </row>
    <row r="25" spans="1:24" x14ac:dyDescent="0.15">
      <c r="A25" s="25" t="s">
        <v>1006</v>
      </c>
      <c r="B25" s="25" t="s">
        <v>107</v>
      </c>
      <c r="C25" s="25" t="s">
        <v>108</v>
      </c>
      <c r="D25" s="25" t="s">
        <v>109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2052</f>
        <v>2052</v>
      </c>
      <c r="L25" s="32" t="s">
        <v>904</v>
      </c>
      <c r="M25" s="31">
        <f>2080.5</f>
        <v>2080.5</v>
      </c>
      <c r="N25" s="32" t="s">
        <v>818</v>
      </c>
      <c r="O25" s="31">
        <f>2027</f>
        <v>2027</v>
      </c>
      <c r="P25" s="32" t="s">
        <v>907</v>
      </c>
      <c r="Q25" s="31">
        <f>2075</f>
        <v>2075</v>
      </c>
      <c r="R25" s="32" t="s">
        <v>818</v>
      </c>
      <c r="S25" s="33">
        <f>2051.34</f>
        <v>2051.34</v>
      </c>
      <c r="T25" s="30">
        <f>1621500</f>
        <v>1621500</v>
      </c>
      <c r="U25" s="30">
        <f>511500</f>
        <v>511500</v>
      </c>
      <c r="V25" s="30">
        <f>3321723413</f>
        <v>3321723413</v>
      </c>
      <c r="W25" s="30">
        <f>1048732013</f>
        <v>1048732013</v>
      </c>
      <c r="X25" s="34">
        <f>22</f>
        <v>22</v>
      </c>
    </row>
    <row r="26" spans="1:24" x14ac:dyDescent="0.15">
      <c r="A26" s="25" t="s">
        <v>1006</v>
      </c>
      <c r="B26" s="25" t="s">
        <v>110</v>
      </c>
      <c r="C26" s="25" t="s">
        <v>111</v>
      </c>
      <c r="D26" s="25" t="s">
        <v>112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28630</f>
        <v>28630</v>
      </c>
      <c r="L26" s="32" t="s">
        <v>904</v>
      </c>
      <c r="M26" s="31">
        <f>30060</f>
        <v>30060</v>
      </c>
      <c r="N26" s="32" t="s">
        <v>819</v>
      </c>
      <c r="O26" s="31">
        <f>28330</f>
        <v>28330</v>
      </c>
      <c r="P26" s="32" t="s">
        <v>909</v>
      </c>
      <c r="Q26" s="31">
        <f>28890</f>
        <v>28890</v>
      </c>
      <c r="R26" s="32" t="s">
        <v>818</v>
      </c>
      <c r="S26" s="33">
        <f>29161.82</f>
        <v>29161.82</v>
      </c>
      <c r="T26" s="30">
        <f>460525</f>
        <v>460525</v>
      </c>
      <c r="U26" s="30">
        <f>104685</f>
        <v>104685</v>
      </c>
      <c r="V26" s="30">
        <f>13465070860</f>
        <v>13465070860</v>
      </c>
      <c r="W26" s="30">
        <f>3066991690</f>
        <v>3066991690</v>
      </c>
      <c r="X26" s="34">
        <f>22</f>
        <v>22</v>
      </c>
    </row>
    <row r="27" spans="1:24" x14ac:dyDescent="0.15">
      <c r="A27" s="25" t="s">
        <v>1006</v>
      </c>
      <c r="B27" s="25" t="s">
        <v>113</v>
      </c>
      <c r="C27" s="25" t="s">
        <v>114</v>
      </c>
      <c r="D27" s="25" t="s">
        <v>115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2004.5</f>
        <v>2004.5</v>
      </c>
      <c r="L27" s="32" t="s">
        <v>904</v>
      </c>
      <c r="M27" s="31">
        <f>2070</f>
        <v>2070</v>
      </c>
      <c r="N27" s="32" t="s">
        <v>819</v>
      </c>
      <c r="O27" s="31">
        <f>1985</f>
        <v>1985</v>
      </c>
      <c r="P27" s="32" t="s">
        <v>909</v>
      </c>
      <c r="Q27" s="31">
        <f>2025</f>
        <v>2025</v>
      </c>
      <c r="R27" s="32" t="s">
        <v>818</v>
      </c>
      <c r="S27" s="33">
        <f>2025.7</f>
        <v>2025.7</v>
      </c>
      <c r="T27" s="30">
        <f>4576730</f>
        <v>4576730</v>
      </c>
      <c r="U27" s="30">
        <f>1027600</f>
        <v>1027600</v>
      </c>
      <c r="V27" s="30">
        <f>9358529224</f>
        <v>9358529224</v>
      </c>
      <c r="W27" s="30">
        <f>2098906569</f>
        <v>2098906569</v>
      </c>
      <c r="X27" s="34">
        <f>22</f>
        <v>22</v>
      </c>
    </row>
    <row r="28" spans="1:24" x14ac:dyDescent="0.15">
      <c r="A28" s="25" t="s">
        <v>1006</v>
      </c>
      <c r="B28" s="25" t="s">
        <v>116</v>
      </c>
      <c r="C28" s="25" t="s">
        <v>117</v>
      </c>
      <c r="D28" s="25" t="s">
        <v>118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14250</f>
        <v>14250</v>
      </c>
      <c r="L28" s="32" t="s">
        <v>904</v>
      </c>
      <c r="M28" s="31">
        <f>14680</f>
        <v>14680</v>
      </c>
      <c r="N28" s="32" t="s">
        <v>934</v>
      </c>
      <c r="O28" s="31">
        <f>14025</f>
        <v>14025</v>
      </c>
      <c r="P28" s="32" t="s">
        <v>909</v>
      </c>
      <c r="Q28" s="31">
        <f>14600</f>
        <v>14600</v>
      </c>
      <c r="R28" s="32" t="s">
        <v>818</v>
      </c>
      <c r="S28" s="33">
        <f>14467.95</f>
        <v>14467.95</v>
      </c>
      <c r="T28" s="30">
        <f>752</f>
        <v>752</v>
      </c>
      <c r="U28" s="30" t="str">
        <f>"－"</f>
        <v>－</v>
      </c>
      <c r="V28" s="30">
        <f>10824540</f>
        <v>10824540</v>
      </c>
      <c r="W28" s="30" t="str">
        <f>"－"</f>
        <v>－</v>
      </c>
      <c r="X28" s="34">
        <f>22</f>
        <v>22</v>
      </c>
    </row>
    <row r="29" spans="1:24" x14ac:dyDescent="0.15">
      <c r="A29" s="25" t="s">
        <v>1006</v>
      </c>
      <c r="B29" s="25" t="s">
        <v>119</v>
      </c>
      <c r="C29" s="25" t="s">
        <v>120</v>
      </c>
      <c r="D29" s="25" t="s">
        <v>121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967.9</f>
        <v>967.9</v>
      </c>
      <c r="L29" s="32" t="s">
        <v>904</v>
      </c>
      <c r="M29" s="31">
        <f>984.8</f>
        <v>984.8</v>
      </c>
      <c r="N29" s="32" t="s">
        <v>909</v>
      </c>
      <c r="O29" s="31">
        <f>902</f>
        <v>902</v>
      </c>
      <c r="P29" s="32" t="s">
        <v>819</v>
      </c>
      <c r="Q29" s="31">
        <f>941.8</f>
        <v>941.8</v>
      </c>
      <c r="R29" s="32" t="s">
        <v>818</v>
      </c>
      <c r="S29" s="33">
        <f>942.76</f>
        <v>942.76</v>
      </c>
      <c r="T29" s="30">
        <f>7586580</f>
        <v>7586580</v>
      </c>
      <c r="U29" s="30">
        <f>16050</f>
        <v>16050</v>
      </c>
      <c r="V29" s="30">
        <f>7152006609</f>
        <v>7152006609</v>
      </c>
      <c r="W29" s="30">
        <f>15135785</f>
        <v>15135785</v>
      </c>
      <c r="X29" s="34">
        <f>22</f>
        <v>22</v>
      </c>
    </row>
    <row r="30" spans="1:24" x14ac:dyDescent="0.15">
      <c r="A30" s="25" t="s">
        <v>1006</v>
      </c>
      <c r="B30" s="25" t="s">
        <v>122</v>
      </c>
      <c r="C30" s="25" t="s">
        <v>123</v>
      </c>
      <c r="D30" s="25" t="s">
        <v>124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369</f>
        <v>369</v>
      </c>
      <c r="L30" s="32" t="s">
        <v>904</v>
      </c>
      <c r="M30" s="31">
        <f>376</f>
        <v>376</v>
      </c>
      <c r="N30" s="32" t="s">
        <v>909</v>
      </c>
      <c r="O30" s="31">
        <f>332</f>
        <v>332</v>
      </c>
      <c r="P30" s="32" t="s">
        <v>819</v>
      </c>
      <c r="Q30" s="31">
        <f>359</f>
        <v>359</v>
      </c>
      <c r="R30" s="32" t="s">
        <v>818</v>
      </c>
      <c r="S30" s="33">
        <f>353.64</f>
        <v>353.64</v>
      </c>
      <c r="T30" s="30">
        <f>1665615557</f>
        <v>1665615557</v>
      </c>
      <c r="U30" s="30">
        <f>5595441</f>
        <v>5595441</v>
      </c>
      <c r="V30" s="30">
        <f>591258025449</f>
        <v>591258025449</v>
      </c>
      <c r="W30" s="30">
        <f>1890626867</f>
        <v>1890626867</v>
      </c>
      <c r="X30" s="34">
        <f>22</f>
        <v>22</v>
      </c>
    </row>
    <row r="31" spans="1:24" x14ac:dyDescent="0.15">
      <c r="A31" s="25" t="s">
        <v>1006</v>
      </c>
      <c r="B31" s="25" t="s">
        <v>125</v>
      </c>
      <c r="C31" s="25" t="s">
        <v>126</v>
      </c>
      <c r="D31" s="25" t="s">
        <v>127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26815</f>
        <v>26815</v>
      </c>
      <c r="L31" s="32" t="s">
        <v>904</v>
      </c>
      <c r="M31" s="31">
        <f>29525</f>
        <v>29525</v>
      </c>
      <c r="N31" s="32" t="s">
        <v>819</v>
      </c>
      <c r="O31" s="31">
        <f>26260</f>
        <v>26260</v>
      </c>
      <c r="P31" s="32" t="s">
        <v>909</v>
      </c>
      <c r="Q31" s="31">
        <f>27280</f>
        <v>27280</v>
      </c>
      <c r="R31" s="32" t="s">
        <v>818</v>
      </c>
      <c r="S31" s="33">
        <f>27816.14</f>
        <v>27816.14</v>
      </c>
      <c r="T31" s="30">
        <f>459124</f>
        <v>459124</v>
      </c>
      <c r="U31" s="30" t="str">
        <f>"－"</f>
        <v>－</v>
      </c>
      <c r="V31" s="30">
        <f>12778369320</f>
        <v>12778369320</v>
      </c>
      <c r="W31" s="30" t="str">
        <f>"－"</f>
        <v>－</v>
      </c>
      <c r="X31" s="34">
        <f>22</f>
        <v>22</v>
      </c>
    </row>
    <row r="32" spans="1:24" x14ac:dyDescent="0.15">
      <c r="A32" s="25" t="s">
        <v>1006</v>
      </c>
      <c r="B32" s="25" t="s">
        <v>128</v>
      </c>
      <c r="C32" s="25" t="s">
        <v>129</v>
      </c>
      <c r="D32" s="25" t="s">
        <v>130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899.5</f>
        <v>899.5</v>
      </c>
      <c r="L32" s="32" t="s">
        <v>904</v>
      </c>
      <c r="M32" s="31">
        <f>916.9</f>
        <v>916.9</v>
      </c>
      <c r="N32" s="32" t="s">
        <v>909</v>
      </c>
      <c r="O32" s="31">
        <f>810.7</f>
        <v>810.7</v>
      </c>
      <c r="P32" s="32" t="s">
        <v>819</v>
      </c>
      <c r="Q32" s="31">
        <f>873.5</f>
        <v>873.5</v>
      </c>
      <c r="R32" s="32" t="s">
        <v>818</v>
      </c>
      <c r="S32" s="33">
        <f>862.69</f>
        <v>862.69</v>
      </c>
      <c r="T32" s="30">
        <f>249267190</f>
        <v>249267190</v>
      </c>
      <c r="U32" s="30">
        <f>408850</f>
        <v>408850</v>
      </c>
      <c r="V32" s="30">
        <f>216428258917</f>
        <v>216428258917</v>
      </c>
      <c r="W32" s="30">
        <f>357822689</f>
        <v>357822689</v>
      </c>
      <c r="X32" s="34">
        <f>22</f>
        <v>22</v>
      </c>
    </row>
    <row r="33" spans="1:24" x14ac:dyDescent="0.15">
      <c r="A33" s="25" t="s">
        <v>1006</v>
      </c>
      <c r="B33" s="25" t="s">
        <v>131</v>
      </c>
      <c r="C33" s="25" t="s">
        <v>132</v>
      </c>
      <c r="D33" s="25" t="s">
        <v>133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18000</f>
        <v>18000</v>
      </c>
      <c r="L33" s="32" t="s">
        <v>904</v>
      </c>
      <c r="M33" s="31">
        <f>18450</f>
        <v>18450</v>
      </c>
      <c r="N33" s="32" t="s">
        <v>906</v>
      </c>
      <c r="O33" s="31">
        <f>17600</f>
        <v>17600</v>
      </c>
      <c r="P33" s="32" t="s">
        <v>905</v>
      </c>
      <c r="Q33" s="31">
        <f>17995</f>
        <v>17995</v>
      </c>
      <c r="R33" s="32" t="s">
        <v>818</v>
      </c>
      <c r="S33" s="33">
        <f>18081.36</f>
        <v>18081.36</v>
      </c>
      <c r="T33" s="30">
        <f>4772</f>
        <v>4772</v>
      </c>
      <c r="U33" s="30" t="str">
        <f>"－"</f>
        <v>－</v>
      </c>
      <c r="V33" s="30">
        <f>85708925</f>
        <v>85708925</v>
      </c>
      <c r="W33" s="30" t="str">
        <f>"－"</f>
        <v>－</v>
      </c>
      <c r="X33" s="34">
        <f>22</f>
        <v>22</v>
      </c>
    </row>
    <row r="34" spans="1:24" x14ac:dyDescent="0.15">
      <c r="A34" s="25" t="s">
        <v>1006</v>
      </c>
      <c r="B34" s="25" t="s">
        <v>134</v>
      </c>
      <c r="C34" s="25" t="s">
        <v>135</v>
      </c>
      <c r="D34" s="25" t="s">
        <v>136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22360</f>
        <v>22360</v>
      </c>
      <c r="L34" s="32" t="s">
        <v>904</v>
      </c>
      <c r="M34" s="31">
        <f>24625</f>
        <v>24625</v>
      </c>
      <c r="N34" s="32" t="s">
        <v>819</v>
      </c>
      <c r="O34" s="31">
        <f>21890</f>
        <v>21890</v>
      </c>
      <c r="P34" s="32" t="s">
        <v>909</v>
      </c>
      <c r="Q34" s="31">
        <f>22745</f>
        <v>22745</v>
      </c>
      <c r="R34" s="32" t="s">
        <v>818</v>
      </c>
      <c r="S34" s="33">
        <f>23194.32</f>
        <v>23194.32</v>
      </c>
      <c r="T34" s="30">
        <f>869271</f>
        <v>869271</v>
      </c>
      <c r="U34" s="30">
        <f>11</f>
        <v>11</v>
      </c>
      <c r="V34" s="30">
        <f>20126599330</f>
        <v>20126599330</v>
      </c>
      <c r="W34" s="30">
        <f>254235</f>
        <v>254235</v>
      </c>
      <c r="X34" s="34">
        <f>22</f>
        <v>22</v>
      </c>
    </row>
    <row r="35" spans="1:24" x14ac:dyDescent="0.15">
      <c r="A35" s="25" t="s">
        <v>1006</v>
      </c>
      <c r="B35" s="25" t="s">
        <v>137</v>
      </c>
      <c r="C35" s="25" t="s">
        <v>138</v>
      </c>
      <c r="D35" s="25" t="s">
        <v>139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962</f>
        <v>962</v>
      </c>
      <c r="L35" s="32" t="s">
        <v>904</v>
      </c>
      <c r="M35" s="31">
        <f>980</f>
        <v>980</v>
      </c>
      <c r="N35" s="32" t="s">
        <v>909</v>
      </c>
      <c r="O35" s="31">
        <f>866</f>
        <v>866</v>
      </c>
      <c r="P35" s="32" t="s">
        <v>819</v>
      </c>
      <c r="Q35" s="31">
        <f>934</f>
        <v>934</v>
      </c>
      <c r="R35" s="32" t="s">
        <v>818</v>
      </c>
      <c r="S35" s="33">
        <f>921.18</f>
        <v>921.18</v>
      </c>
      <c r="T35" s="30">
        <f>26685804</f>
        <v>26685804</v>
      </c>
      <c r="U35" s="30">
        <f>2740</f>
        <v>2740</v>
      </c>
      <c r="V35" s="30">
        <f>24574096302</f>
        <v>24574096302</v>
      </c>
      <c r="W35" s="30">
        <f>2533940</f>
        <v>2533940</v>
      </c>
      <c r="X35" s="34">
        <f>22</f>
        <v>22</v>
      </c>
    </row>
    <row r="36" spans="1:24" x14ac:dyDescent="0.15">
      <c r="A36" s="25" t="s">
        <v>1006</v>
      </c>
      <c r="B36" s="25" t="s">
        <v>140</v>
      </c>
      <c r="C36" s="25" t="s">
        <v>141</v>
      </c>
      <c r="D36" s="25" t="s">
        <v>142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18560</f>
        <v>18560</v>
      </c>
      <c r="L36" s="32" t="s">
        <v>904</v>
      </c>
      <c r="M36" s="31">
        <f>19785</f>
        <v>19785</v>
      </c>
      <c r="N36" s="32" t="s">
        <v>819</v>
      </c>
      <c r="O36" s="31">
        <f>18200</f>
        <v>18200</v>
      </c>
      <c r="P36" s="32" t="s">
        <v>909</v>
      </c>
      <c r="Q36" s="31">
        <f>18880</f>
        <v>18880</v>
      </c>
      <c r="R36" s="32" t="s">
        <v>818</v>
      </c>
      <c r="S36" s="33">
        <f>18966.82</f>
        <v>18966.82</v>
      </c>
      <c r="T36" s="30">
        <f>90273</f>
        <v>90273</v>
      </c>
      <c r="U36" s="30" t="str">
        <f>"－"</f>
        <v>－</v>
      </c>
      <c r="V36" s="30">
        <f>1716086305</f>
        <v>1716086305</v>
      </c>
      <c r="W36" s="30" t="str">
        <f>"－"</f>
        <v>－</v>
      </c>
      <c r="X36" s="34">
        <f>22</f>
        <v>22</v>
      </c>
    </row>
    <row r="37" spans="1:24" x14ac:dyDescent="0.15">
      <c r="A37" s="25" t="s">
        <v>1006</v>
      </c>
      <c r="B37" s="25" t="s">
        <v>143</v>
      </c>
      <c r="C37" s="25" t="s">
        <v>144</v>
      </c>
      <c r="D37" s="25" t="s">
        <v>145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1405</f>
        <v>1405</v>
      </c>
      <c r="L37" s="32" t="s">
        <v>904</v>
      </c>
      <c r="M37" s="31">
        <f>1428</f>
        <v>1428</v>
      </c>
      <c r="N37" s="32" t="s">
        <v>909</v>
      </c>
      <c r="O37" s="31">
        <f>1309</f>
        <v>1309</v>
      </c>
      <c r="P37" s="32" t="s">
        <v>819</v>
      </c>
      <c r="Q37" s="31">
        <f>1364</f>
        <v>1364</v>
      </c>
      <c r="R37" s="32" t="s">
        <v>818</v>
      </c>
      <c r="S37" s="33">
        <f>1367.09</f>
        <v>1367.09</v>
      </c>
      <c r="T37" s="30">
        <f>1157095</f>
        <v>1157095</v>
      </c>
      <c r="U37" s="30">
        <f>5550</f>
        <v>5550</v>
      </c>
      <c r="V37" s="30">
        <f>1585940276</f>
        <v>1585940276</v>
      </c>
      <c r="W37" s="30">
        <f>7525800</f>
        <v>7525800</v>
      </c>
      <c r="X37" s="34">
        <f>22</f>
        <v>22</v>
      </c>
    </row>
    <row r="38" spans="1:24" x14ac:dyDescent="0.15">
      <c r="A38" s="25" t="s">
        <v>1006</v>
      </c>
      <c r="B38" s="25" t="s">
        <v>146</v>
      </c>
      <c r="C38" s="25" t="s">
        <v>147</v>
      </c>
      <c r="D38" s="25" t="s">
        <v>148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27785</f>
        <v>27785</v>
      </c>
      <c r="L38" s="32" t="s">
        <v>904</v>
      </c>
      <c r="M38" s="31">
        <f>29175</f>
        <v>29175</v>
      </c>
      <c r="N38" s="32" t="s">
        <v>819</v>
      </c>
      <c r="O38" s="31">
        <f>27530</f>
        <v>27530</v>
      </c>
      <c r="P38" s="32" t="s">
        <v>909</v>
      </c>
      <c r="Q38" s="31">
        <f>28060</f>
        <v>28060</v>
      </c>
      <c r="R38" s="32" t="s">
        <v>818</v>
      </c>
      <c r="S38" s="33">
        <f>28320.91</f>
        <v>28320.91</v>
      </c>
      <c r="T38" s="30">
        <f>203145</f>
        <v>203145</v>
      </c>
      <c r="U38" s="30">
        <f>20400</f>
        <v>20400</v>
      </c>
      <c r="V38" s="30">
        <f>5760419485</f>
        <v>5760419485</v>
      </c>
      <c r="W38" s="30">
        <f>571196400</f>
        <v>571196400</v>
      </c>
      <c r="X38" s="34">
        <f>22</f>
        <v>22</v>
      </c>
    </row>
    <row r="39" spans="1:24" x14ac:dyDescent="0.15">
      <c r="A39" s="25" t="s">
        <v>1006</v>
      </c>
      <c r="B39" s="25" t="s">
        <v>149</v>
      </c>
      <c r="C39" s="25" t="s">
        <v>150</v>
      </c>
      <c r="D39" s="25" t="s">
        <v>151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5150</f>
        <v>5150</v>
      </c>
      <c r="L39" s="32" t="s">
        <v>904</v>
      </c>
      <c r="M39" s="31">
        <f>5300</f>
        <v>5300</v>
      </c>
      <c r="N39" s="32" t="s">
        <v>906</v>
      </c>
      <c r="O39" s="31">
        <f>4950</f>
        <v>4950</v>
      </c>
      <c r="P39" s="32" t="s">
        <v>936</v>
      </c>
      <c r="Q39" s="31">
        <f>5080</f>
        <v>5080</v>
      </c>
      <c r="R39" s="32" t="s">
        <v>818</v>
      </c>
      <c r="S39" s="33">
        <f>5150.91</f>
        <v>5150.91</v>
      </c>
      <c r="T39" s="30">
        <f>5396</f>
        <v>5396</v>
      </c>
      <c r="U39" s="30" t="str">
        <f t="shared" ref="U39:U45" si="0">"－"</f>
        <v>－</v>
      </c>
      <c r="V39" s="30">
        <f>27684525</f>
        <v>27684525</v>
      </c>
      <c r="W39" s="30" t="str">
        <f t="shared" ref="W39:W45" si="1">"－"</f>
        <v>－</v>
      </c>
      <c r="X39" s="34">
        <f>22</f>
        <v>22</v>
      </c>
    </row>
    <row r="40" spans="1:24" x14ac:dyDescent="0.15">
      <c r="A40" s="25" t="s">
        <v>1006</v>
      </c>
      <c r="B40" s="25" t="s">
        <v>152</v>
      </c>
      <c r="C40" s="25" t="s">
        <v>153</v>
      </c>
      <c r="D40" s="25" t="s">
        <v>154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9806</f>
        <v>9806</v>
      </c>
      <c r="L40" s="32" t="s">
        <v>904</v>
      </c>
      <c r="M40" s="31">
        <f>9909</f>
        <v>9909</v>
      </c>
      <c r="N40" s="32" t="s">
        <v>909</v>
      </c>
      <c r="O40" s="31">
        <f>9451</f>
        <v>9451</v>
      </c>
      <c r="P40" s="32" t="s">
        <v>936</v>
      </c>
      <c r="Q40" s="31">
        <f>9749</f>
        <v>9749</v>
      </c>
      <c r="R40" s="32" t="s">
        <v>818</v>
      </c>
      <c r="S40" s="33">
        <f>9763.64</f>
        <v>9763.64</v>
      </c>
      <c r="T40" s="30">
        <f>1464</f>
        <v>1464</v>
      </c>
      <c r="U40" s="30" t="str">
        <f t="shared" si="0"/>
        <v>－</v>
      </c>
      <c r="V40" s="30">
        <f>14221659</f>
        <v>14221659</v>
      </c>
      <c r="W40" s="30" t="str">
        <f t="shared" si="1"/>
        <v>－</v>
      </c>
      <c r="X40" s="34">
        <f>22</f>
        <v>22</v>
      </c>
    </row>
    <row r="41" spans="1:24" x14ac:dyDescent="0.15">
      <c r="A41" s="25" t="s">
        <v>1006</v>
      </c>
      <c r="B41" s="25" t="s">
        <v>155</v>
      </c>
      <c r="C41" s="25" t="s">
        <v>156</v>
      </c>
      <c r="D41" s="25" t="s">
        <v>157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17755</f>
        <v>17755</v>
      </c>
      <c r="L41" s="32" t="s">
        <v>909</v>
      </c>
      <c r="M41" s="31">
        <f>18475</f>
        <v>18475</v>
      </c>
      <c r="N41" s="32" t="s">
        <v>814</v>
      </c>
      <c r="O41" s="31">
        <f>16990</f>
        <v>16990</v>
      </c>
      <c r="P41" s="32" t="s">
        <v>936</v>
      </c>
      <c r="Q41" s="31">
        <f>17235</f>
        <v>17235</v>
      </c>
      <c r="R41" s="32" t="s">
        <v>934</v>
      </c>
      <c r="S41" s="33">
        <f>17763.93</f>
        <v>17763.93</v>
      </c>
      <c r="T41" s="30">
        <f>59</f>
        <v>59</v>
      </c>
      <c r="U41" s="30" t="str">
        <f t="shared" si="0"/>
        <v>－</v>
      </c>
      <c r="V41" s="30">
        <f>1058710</f>
        <v>1058710</v>
      </c>
      <c r="W41" s="30" t="str">
        <f t="shared" si="1"/>
        <v>－</v>
      </c>
      <c r="X41" s="34">
        <f>14</f>
        <v>14</v>
      </c>
    </row>
    <row r="42" spans="1:24" x14ac:dyDescent="0.15">
      <c r="A42" s="25" t="s">
        <v>1006</v>
      </c>
      <c r="B42" s="25" t="s">
        <v>158</v>
      </c>
      <c r="C42" s="25" t="s">
        <v>159</v>
      </c>
      <c r="D42" s="25" t="s">
        <v>160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15025</f>
        <v>15025</v>
      </c>
      <c r="L42" s="32" t="s">
        <v>904</v>
      </c>
      <c r="M42" s="31">
        <f>15835</f>
        <v>15835</v>
      </c>
      <c r="N42" s="32" t="s">
        <v>915</v>
      </c>
      <c r="O42" s="31">
        <f>14500</f>
        <v>14500</v>
      </c>
      <c r="P42" s="32" t="s">
        <v>936</v>
      </c>
      <c r="Q42" s="31">
        <f>14500</f>
        <v>14500</v>
      </c>
      <c r="R42" s="32" t="s">
        <v>936</v>
      </c>
      <c r="S42" s="33">
        <f>15160.71</f>
        <v>15160.71</v>
      </c>
      <c r="T42" s="30">
        <f>18</f>
        <v>18</v>
      </c>
      <c r="U42" s="30" t="str">
        <f t="shared" si="0"/>
        <v>－</v>
      </c>
      <c r="V42" s="30">
        <f>271705</f>
        <v>271705</v>
      </c>
      <c r="W42" s="30" t="str">
        <f t="shared" si="1"/>
        <v>－</v>
      </c>
      <c r="X42" s="34">
        <f>7</f>
        <v>7</v>
      </c>
    </row>
    <row r="43" spans="1:24" x14ac:dyDescent="0.15">
      <c r="A43" s="25" t="s">
        <v>1006</v>
      </c>
      <c r="B43" s="25" t="s">
        <v>161</v>
      </c>
      <c r="C43" s="25" t="s">
        <v>162</v>
      </c>
      <c r="D43" s="25" t="s">
        <v>163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11175</f>
        <v>11175</v>
      </c>
      <c r="L43" s="32" t="s">
        <v>904</v>
      </c>
      <c r="M43" s="31">
        <f>11480</f>
        <v>11480</v>
      </c>
      <c r="N43" s="32" t="s">
        <v>819</v>
      </c>
      <c r="O43" s="31">
        <f>10855</f>
        <v>10855</v>
      </c>
      <c r="P43" s="32" t="s">
        <v>909</v>
      </c>
      <c r="Q43" s="31">
        <f>11165</f>
        <v>11165</v>
      </c>
      <c r="R43" s="32" t="s">
        <v>818</v>
      </c>
      <c r="S43" s="33">
        <f>11167.38</f>
        <v>11167.38</v>
      </c>
      <c r="T43" s="30">
        <f>875</f>
        <v>875</v>
      </c>
      <c r="U43" s="30" t="str">
        <f t="shared" si="0"/>
        <v>－</v>
      </c>
      <c r="V43" s="30">
        <f>9761115</f>
        <v>9761115</v>
      </c>
      <c r="W43" s="30" t="str">
        <f t="shared" si="1"/>
        <v>－</v>
      </c>
      <c r="X43" s="34">
        <f>21</f>
        <v>21</v>
      </c>
    </row>
    <row r="44" spans="1:24" x14ac:dyDescent="0.15">
      <c r="A44" s="25" t="s">
        <v>1006</v>
      </c>
      <c r="B44" s="25" t="s">
        <v>164</v>
      </c>
      <c r="C44" s="25" t="s">
        <v>165</v>
      </c>
      <c r="D44" s="25" t="s">
        <v>166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5590</f>
        <v>5590</v>
      </c>
      <c r="L44" s="32" t="s">
        <v>904</v>
      </c>
      <c r="M44" s="31">
        <f>5840</f>
        <v>5840</v>
      </c>
      <c r="N44" s="32" t="s">
        <v>812</v>
      </c>
      <c r="O44" s="31">
        <f>5490</f>
        <v>5490</v>
      </c>
      <c r="P44" s="32" t="s">
        <v>909</v>
      </c>
      <c r="Q44" s="31">
        <f>5710</f>
        <v>5710</v>
      </c>
      <c r="R44" s="32" t="s">
        <v>818</v>
      </c>
      <c r="S44" s="33">
        <f>5689.09</f>
        <v>5689.09</v>
      </c>
      <c r="T44" s="30">
        <f>1831</f>
        <v>1831</v>
      </c>
      <c r="U44" s="30" t="str">
        <f t="shared" si="0"/>
        <v>－</v>
      </c>
      <c r="V44" s="30">
        <f>10347120</f>
        <v>10347120</v>
      </c>
      <c r="W44" s="30" t="str">
        <f t="shared" si="1"/>
        <v>－</v>
      </c>
      <c r="X44" s="34">
        <f>22</f>
        <v>22</v>
      </c>
    </row>
    <row r="45" spans="1:24" x14ac:dyDescent="0.15">
      <c r="A45" s="25" t="s">
        <v>1006</v>
      </c>
      <c r="B45" s="25" t="s">
        <v>167</v>
      </c>
      <c r="C45" s="25" t="s">
        <v>168</v>
      </c>
      <c r="D45" s="25" t="s">
        <v>169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3025</f>
        <v>3025</v>
      </c>
      <c r="L45" s="32" t="s">
        <v>904</v>
      </c>
      <c r="M45" s="31">
        <f>3145</f>
        <v>3145</v>
      </c>
      <c r="N45" s="32" t="s">
        <v>915</v>
      </c>
      <c r="O45" s="31">
        <f>2950</f>
        <v>2950</v>
      </c>
      <c r="P45" s="32" t="s">
        <v>936</v>
      </c>
      <c r="Q45" s="31">
        <f>3040</f>
        <v>3040</v>
      </c>
      <c r="R45" s="32" t="s">
        <v>818</v>
      </c>
      <c r="S45" s="33">
        <f>3061.36</f>
        <v>3061.36</v>
      </c>
      <c r="T45" s="30">
        <f>14734</f>
        <v>14734</v>
      </c>
      <c r="U45" s="30" t="str">
        <f t="shared" si="0"/>
        <v>－</v>
      </c>
      <c r="V45" s="30">
        <f>44717197</f>
        <v>44717197</v>
      </c>
      <c r="W45" s="30" t="str">
        <f t="shared" si="1"/>
        <v>－</v>
      </c>
      <c r="X45" s="34">
        <f>22</f>
        <v>22</v>
      </c>
    </row>
    <row r="46" spans="1:24" x14ac:dyDescent="0.15">
      <c r="A46" s="25" t="s">
        <v>1006</v>
      </c>
      <c r="B46" s="25" t="s">
        <v>170</v>
      </c>
      <c r="C46" s="25" t="s">
        <v>171</v>
      </c>
      <c r="D46" s="25" t="s">
        <v>172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3030</f>
        <v>3030</v>
      </c>
      <c r="L46" s="32" t="s">
        <v>904</v>
      </c>
      <c r="M46" s="31">
        <f>3140</f>
        <v>3140</v>
      </c>
      <c r="N46" s="32" t="s">
        <v>816</v>
      </c>
      <c r="O46" s="31">
        <f>2980</f>
        <v>2980</v>
      </c>
      <c r="P46" s="32" t="s">
        <v>909</v>
      </c>
      <c r="Q46" s="31">
        <f>3015</f>
        <v>3015</v>
      </c>
      <c r="R46" s="32" t="s">
        <v>818</v>
      </c>
      <c r="S46" s="33">
        <f>3060.68</f>
        <v>3060.68</v>
      </c>
      <c r="T46" s="30">
        <f>1797</f>
        <v>1797</v>
      </c>
      <c r="U46" s="30">
        <f>81</f>
        <v>81</v>
      </c>
      <c r="V46" s="30">
        <f>5473896</f>
        <v>5473896</v>
      </c>
      <c r="W46" s="30">
        <f>230769</f>
        <v>230769</v>
      </c>
      <c r="X46" s="34">
        <f>22</f>
        <v>22</v>
      </c>
    </row>
    <row r="47" spans="1:24" x14ac:dyDescent="0.15">
      <c r="A47" s="25" t="s">
        <v>1006</v>
      </c>
      <c r="B47" s="25" t="s">
        <v>173</v>
      </c>
      <c r="C47" s="25" t="s">
        <v>174</v>
      </c>
      <c r="D47" s="25" t="s">
        <v>175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53380</f>
        <v>53380</v>
      </c>
      <c r="L47" s="32" t="s">
        <v>904</v>
      </c>
      <c r="M47" s="31">
        <f>56000</f>
        <v>56000</v>
      </c>
      <c r="N47" s="32" t="s">
        <v>816</v>
      </c>
      <c r="O47" s="31">
        <f>51760</f>
        <v>51760</v>
      </c>
      <c r="P47" s="32" t="s">
        <v>909</v>
      </c>
      <c r="Q47" s="31">
        <f>53500</f>
        <v>53500</v>
      </c>
      <c r="R47" s="32" t="s">
        <v>818</v>
      </c>
      <c r="S47" s="33">
        <f>54267.14</f>
        <v>54267.14</v>
      </c>
      <c r="T47" s="30">
        <f>1400</f>
        <v>1400</v>
      </c>
      <c r="U47" s="30" t="str">
        <f>"－"</f>
        <v>－</v>
      </c>
      <c r="V47" s="30">
        <f>76048030</f>
        <v>76048030</v>
      </c>
      <c r="W47" s="30" t="str">
        <f>"－"</f>
        <v>－</v>
      </c>
      <c r="X47" s="34">
        <f>21</f>
        <v>21</v>
      </c>
    </row>
    <row r="48" spans="1:24" x14ac:dyDescent="0.15">
      <c r="A48" s="25" t="s">
        <v>1006</v>
      </c>
      <c r="B48" s="25" t="s">
        <v>176</v>
      </c>
      <c r="C48" s="25" t="s">
        <v>177</v>
      </c>
      <c r="D48" s="25" t="s">
        <v>178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37030</f>
        <v>37030</v>
      </c>
      <c r="L48" s="32" t="s">
        <v>904</v>
      </c>
      <c r="M48" s="31">
        <f>38680</f>
        <v>38680</v>
      </c>
      <c r="N48" s="32" t="s">
        <v>906</v>
      </c>
      <c r="O48" s="31">
        <f>36890</f>
        <v>36890</v>
      </c>
      <c r="P48" s="32" t="s">
        <v>811</v>
      </c>
      <c r="Q48" s="31">
        <f>36980</f>
        <v>36980</v>
      </c>
      <c r="R48" s="32" t="s">
        <v>818</v>
      </c>
      <c r="S48" s="33">
        <f>37627.27</f>
        <v>37627.269999999997</v>
      </c>
      <c r="T48" s="30">
        <f>234</f>
        <v>234</v>
      </c>
      <c r="U48" s="30" t="str">
        <f>"－"</f>
        <v>－</v>
      </c>
      <c r="V48" s="30">
        <f>8926480</f>
        <v>8926480</v>
      </c>
      <c r="W48" s="30" t="str">
        <f>"－"</f>
        <v>－</v>
      </c>
      <c r="X48" s="34">
        <f>11</f>
        <v>11</v>
      </c>
    </row>
    <row r="49" spans="1:24" x14ac:dyDescent="0.15">
      <c r="A49" s="25" t="s">
        <v>1006</v>
      </c>
      <c r="B49" s="25" t="s">
        <v>179</v>
      </c>
      <c r="C49" s="25" t="s">
        <v>180</v>
      </c>
      <c r="D49" s="25" t="s">
        <v>181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28000</f>
        <v>28000</v>
      </c>
      <c r="L49" s="32" t="s">
        <v>907</v>
      </c>
      <c r="M49" s="31">
        <f>29500</f>
        <v>29500</v>
      </c>
      <c r="N49" s="32" t="s">
        <v>819</v>
      </c>
      <c r="O49" s="31">
        <f>28000</f>
        <v>28000</v>
      </c>
      <c r="P49" s="32" t="s">
        <v>907</v>
      </c>
      <c r="Q49" s="31">
        <f>28340</f>
        <v>28340</v>
      </c>
      <c r="R49" s="32" t="s">
        <v>934</v>
      </c>
      <c r="S49" s="33">
        <f>28718.06</f>
        <v>28718.06</v>
      </c>
      <c r="T49" s="30">
        <f>45842</f>
        <v>45842</v>
      </c>
      <c r="U49" s="30">
        <f>25689</f>
        <v>25689</v>
      </c>
      <c r="V49" s="30">
        <f>1326390546</f>
        <v>1326390546</v>
      </c>
      <c r="W49" s="30">
        <f>742399886</f>
        <v>742399886</v>
      </c>
      <c r="X49" s="34">
        <f>18</f>
        <v>18</v>
      </c>
    </row>
    <row r="50" spans="1:24" x14ac:dyDescent="0.15">
      <c r="A50" s="25" t="s">
        <v>1006</v>
      </c>
      <c r="B50" s="25" t="s">
        <v>182</v>
      </c>
      <c r="C50" s="25" t="s">
        <v>183</v>
      </c>
      <c r="D50" s="25" t="s">
        <v>184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2076</f>
        <v>2076</v>
      </c>
      <c r="L50" s="32" t="s">
        <v>904</v>
      </c>
      <c r="M50" s="31">
        <f>2104.5</f>
        <v>2104.5</v>
      </c>
      <c r="N50" s="32" t="s">
        <v>934</v>
      </c>
      <c r="O50" s="31">
        <f>2060.5</f>
        <v>2060.5</v>
      </c>
      <c r="P50" s="32" t="s">
        <v>905</v>
      </c>
      <c r="Q50" s="31">
        <f>2093.5</f>
        <v>2093.5</v>
      </c>
      <c r="R50" s="32" t="s">
        <v>818</v>
      </c>
      <c r="S50" s="33">
        <f>2074.73</f>
        <v>2074.73</v>
      </c>
      <c r="T50" s="30">
        <f>695520</f>
        <v>695520</v>
      </c>
      <c r="U50" s="30">
        <f>459210</f>
        <v>459210</v>
      </c>
      <c r="V50" s="30">
        <f>1441869305</f>
        <v>1441869305</v>
      </c>
      <c r="W50" s="30">
        <f>951607150</f>
        <v>951607150</v>
      </c>
      <c r="X50" s="34">
        <f>22</f>
        <v>22</v>
      </c>
    </row>
    <row r="51" spans="1:24" x14ac:dyDescent="0.15">
      <c r="A51" s="25" t="s">
        <v>1006</v>
      </c>
      <c r="B51" s="25" t="s">
        <v>185</v>
      </c>
      <c r="C51" s="25" t="s">
        <v>186</v>
      </c>
      <c r="D51" s="25" t="s">
        <v>187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1641</f>
        <v>1641</v>
      </c>
      <c r="L51" s="32" t="s">
        <v>904</v>
      </c>
      <c r="M51" s="31">
        <f>1678.5</f>
        <v>1678.5</v>
      </c>
      <c r="N51" s="32" t="s">
        <v>819</v>
      </c>
      <c r="O51" s="31">
        <f>1600.5</f>
        <v>1600.5</v>
      </c>
      <c r="P51" s="32" t="s">
        <v>810</v>
      </c>
      <c r="Q51" s="31">
        <f>1664.5</f>
        <v>1664.5</v>
      </c>
      <c r="R51" s="32" t="s">
        <v>818</v>
      </c>
      <c r="S51" s="33">
        <f>1649.1</f>
        <v>1649.1</v>
      </c>
      <c r="T51" s="30">
        <f>1800</f>
        <v>1800</v>
      </c>
      <c r="U51" s="30" t="str">
        <f>"－"</f>
        <v>－</v>
      </c>
      <c r="V51" s="30">
        <f>2970095</f>
        <v>2970095</v>
      </c>
      <c r="W51" s="30" t="str">
        <f>"－"</f>
        <v>－</v>
      </c>
      <c r="X51" s="34">
        <f>21</f>
        <v>21</v>
      </c>
    </row>
    <row r="52" spans="1:24" x14ac:dyDescent="0.15">
      <c r="A52" s="25" t="s">
        <v>1006</v>
      </c>
      <c r="B52" s="25" t="s">
        <v>188</v>
      </c>
      <c r="C52" s="25" t="s">
        <v>189</v>
      </c>
      <c r="D52" s="25" t="s">
        <v>190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4175</f>
        <v>4175</v>
      </c>
      <c r="L52" s="32" t="s">
        <v>904</v>
      </c>
      <c r="M52" s="31">
        <f>4215</f>
        <v>4215</v>
      </c>
      <c r="N52" s="32" t="s">
        <v>909</v>
      </c>
      <c r="O52" s="31">
        <f>3965</f>
        <v>3965</v>
      </c>
      <c r="P52" s="32" t="s">
        <v>819</v>
      </c>
      <c r="Q52" s="31">
        <f>4120</f>
        <v>4120</v>
      </c>
      <c r="R52" s="32" t="s">
        <v>818</v>
      </c>
      <c r="S52" s="33">
        <f>4090.45</f>
        <v>4090.45</v>
      </c>
      <c r="T52" s="30">
        <f>372010</f>
        <v>372010</v>
      </c>
      <c r="U52" s="30">
        <f>19064</f>
        <v>19064</v>
      </c>
      <c r="V52" s="30">
        <f>1511968950</f>
        <v>1511968950</v>
      </c>
      <c r="W52" s="30">
        <f>78482015</f>
        <v>78482015</v>
      </c>
      <c r="X52" s="34">
        <f>22</f>
        <v>22</v>
      </c>
    </row>
    <row r="53" spans="1:24" x14ac:dyDescent="0.15">
      <c r="A53" s="25" t="s">
        <v>1006</v>
      </c>
      <c r="B53" s="25" t="s">
        <v>191</v>
      </c>
      <c r="C53" s="25" t="s">
        <v>192</v>
      </c>
      <c r="D53" s="25" t="s">
        <v>193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4960</f>
        <v>4960</v>
      </c>
      <c r="L53" s="32" t="s">
        <v>904</v>
      </c>
      <c r="M53" s="31">
        <f>5010</f>
        <v>5010</v>
      </c>
      <c r="N53" s="32" t="s">
        <v>909</v>
      </c>
      <c r="O53" s="31">
        <f>4790</f>
        <v>4790</v>
      </c>
      <c r="P53" s="32" t="s">
        <v>819</v>
      </c>
      <c r="Q53" s="31">
        <f>4900</f>
        <v>4900</v>
      </c>
      <c r="R53" s="32" t="s">
        <v>818</v>
      </c>
      <c r="S53" s="33">
        <f>4897.05</f>
        <v>4897.05</v>
      </c>
      <c r="T53" s="30">
        <f>415913</f>
        <v>415913</v>
      </c>
      <c r="U53" s="30">
        <f>397282</f>
        <v>397282</v>
      </c>
      <c r="V53" s="30">
        <f>2024120080</f>
        <v>2024120080</v>
      </c>
      <c r="W53" s="30">
        <f>1932251250</f>
        <v>1932251250</v>
      </c>
      <c r="X53" s="34">
        <f>22</f>
        <v>22</v>
      </c>
    </row>
    <row r="54" spans="1:24" x14ac:dyDescent="0.15">
      <c r="A54" s="25" t="s">
        <v>1006</v>
      </c>
      <c r="B54" s="25" t="s">
        <v>194</v>
      </c>
      <c r="C54" s="25" t="s">
        <v>195</v>
      </c>
      <c r="D54" s="25" t="s">
        <v>196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16990</f>
        <v>16990</v>
      </c>
      <c r="L54" s="32" t="s">
        <v>904</v>
      </c>
      <c r="M54" s="31">
        <f>18715</f>
        <v>18715</v>
      </c>
      <c r="N54" s="32" t="s">
        <v>819</v>
      </c>
      <c r="O54" s="31">
        <f>16630</f>
        <v>16630</v>
      </c>
      <c r="P54" s="32" t="s">
        <v>909</v>
      </c>
      <c r="Q54" s="31">
        <f>17275</f>
        <v>17275</v>
      </c>
      <c r="R54" s="32" t="s">
        <v>818</v>
      </c>
      <c r="S54" s="33">
        <f>17618.86</f>
        <v>17618.86</v>
      </c>
      <c r="T54" s="30">
        <f>15349209</f>
        <v>15349209</v>
      </c>
      <c r="U54" s="30">
        <f>12500</f>
        <v>12500</v>
      </c>
      <c r="V54" s="30">
        <f>269164291605</f>
        <v>269164291605</v>
      </c>
      <c r="W54" s="30">
        <f>223028060</f>
        <v>223028060</v>
      </c>
      <c r="X54" s="34">
        <f>22</f>
        <v>22</v>
      </c>
    </row>
    <row r="55" spans="1:24" x14ac:dyDescent="0.15">
      <c r="A55" s="25" t="s">
        <v>1006</v>
      </c>
      <c r="B55" s="25" t="s">
        <v>197</v>
      </c>
      <c r="C55" s="25" t="s">
        <v>198</v>
      </c>
      <c r="D55" s="25" t="s">
        <v>199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1478</f>
        <v>1478</v>
      </c>
      <c r="L55" s="32" t="s">
        <v>904</v>
      </c>
      <c r="M55" s="31">
        <f>1506</f>
        <v>1506</v>
      </c>
      <c r="N55" s="32" t="s">
        <v>909</v>
      </c>
      <c r="O55" s="31">
        <f>1332</f>
        <v>1332</v>
      </c>
      <c r="P55" s="32" t="s">
        <v>819</v>
      </c>
      <c r="Q55" s="31">
        <f>1435</f>
        <v>1435</v>
      </c>
      <c r="R55" s="32" t="s">
        <v>818</v>
      </c>
      <c r="S55" s="33">
        <f>1417.18</f>
        <v>1417.18</v>
      </c>
      <c r="T55" s="30">
        <f>198700759</f>
        <v>198700759</v>
      </c>
      <c r="U55" s="30">
        <f>559602</f>
        <v>559602</v>
      </c>
      <c r="V55" s="30">
        <f>282615895963</f>
        <v>282615895963</v>
      </c>
      <c r="W55" s="30">
        <f>770754846</f>
        <v>770754846</v>
      </c>
      <c r="X55" s="34">
        <f>22</f>
        <v>22</v>
      </c>
    </row>
    <row r="56" spans="1:24" x14ac:dyDescent="0.15">
      <c r="A56" s="25" t="s">
        <v>1006</v>
      </c>
      <c r="B56" s="25" t="s">
        <v>200</v>
      </c>
      <c r="C56" s="25" t="s">
        <v>201</v>
      </c>
      <c r="D56" s="25" t="s">
        <v>202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14705</f>
        <v>14705</v>
      </c>
      <c r="L56" s="32" t="s">
        <v>904</v>
      </c>
      <c r="M56" s="31">
        <f>15680</f>
        <v>15680</v>
      </c>
      <c r="N56" s="32" t="s">
        <v>819</v>
      </c>
      <c r="O56" s="31">
        <f>14390</f>
        <v>14390</v>
      </c>
      <c r="P56" s="32" t="s">
        <v>909</v>
      </c>
      <c r="Q56" s="31">
        <f>15035</f>
        <v>15035</v>
      </c>
      <c r="R56" s="32" t="s">
        <v>818</v>
      </c>
      <c r="S56" s="33">
        <f>15053.41</f>
        <v>15053.41</v>
      </c>
      <c r="T56" s="30">
        <f>2255</f>
        <v>2255</v>
      </c>
      <c r="U56" s="30" t="str">
        <f t="shared" ref="U56:U64" si="2">"－"</f>
        <v>－</v>
      </c>
      <c r="V56" s="30">
        <f>33764580</f>
        <v>33764580</v>
      </c>
      <c r="W56" s="30" t="str">
        <f t="shared" ref="W56:W64" si="3">"－"</f>
        <v>－</v>
      </c>
      <c r="X56" s="34">
        <f>22</f>
        <v>22</v>
      </c>
    </row>
    <row r="57" spans="1:24" x14ac:dyDescent="0.15">
      <c r="A57" s="25" t="s">
        <v>1006</v>
      </c>
      <c r="B57" s="25" t="s">
        <v>203</v>
      </c>
      <c r="C57" s="25" t="s">
        <v>204</v>
      </c>
      <c r="D57" s="25" t="s">
        <v>205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4775</f>
        <v>4775</v>
      </c>
      <c r="L57" s="32" t="s">
        <v>904</v>
      </c>
      <c r="M57" s="31">
        <f>4895</f>
        <v>4895</v>
      </c>
      <c r="N57" s="32" t="s">
        <v>909</v>
      </c>
      <c r="O57" s="31">
        <f>4610</f>
        <v>4610</v>
      </c>
      <c r="P57" s="32" t="s">
        <v>819</v>
      </c>
      <c r="Q57" s="31">
        <f>4715</f>
        <v>4715</v>
      </c>
      <c r="R57" s="32" t="s">
        <v>818</v>
      </c>
      <c r="S57" s="33">
        <f>4758.5</f>
        <v>4758.5</v>
      </c>
      <c r="T57" s="30">
        <f>3120</f>
        <v>3120</v>
      </c>
      <c r="U57" s="30" t="str">
        <f t="shared" si="2"/>
        <v>－</v>
      </c>
      <c r="V57" s="30">
        <f>14748290</f>
        <v>14748290</v>
      </c>
      <c r="W57" s="30" t="str">
        <f t="shared" si="3"/>
        <v>－</v>
      </c>
      <c r="X57" s="34">
        <f>20</f>
        <v>20</v>
      </c>
    </row>
    <row r="58" spans="1:24" x14ac:dyDescent="0.15">
      <c r="A58" s="25" t="s">
        <v>1006</v>
      </c>
      <c r="B58" s="25" t="s">
        <v>206</v>
      </c>
      <c r="C58" s="25" t="s">
        <v>207</v>
      </c>
      <c r="D58" s="25" t="s">
        <v>208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1824</f>
        <v>1824</v>
      </c>
      <c r="L58" s="32" t="s">
        <v>904</v>
      </c>
      <c r="M58" s="31">
        <f>1868</f>
        <v>1868</v>
      </c>
      <c r="N58" s="32" t="s">
        <v>936</v>
      </c>
      <c r="O58" s="31">
        <f>1701</f>
        <v>1701</v>
      </c>
      <c r="P58" s="32" t="s">
        <v>814</v>
      </c>
      <c r="Q58" s="31">
        <f>1785</f>
        <v>1785</v>
      </c>
      <c r="R58" s="32" t="s">
        <v>818</v>
      </c>
      <c r="S58" s="33">
        <f>1777.14</f>
        <v>1777.14</v>
      </c>
      <c r="T58" s="30">
        <f>42599</f>
        <v>42599</v>
      </c>
      <c r="U58" s="30" t="str">
        <f t="shared" si="2"/>
        <v>－</v>
      </c>
      <c r="V58" s="30">
        <f>75696826</f>
        <v>75696826</v>
      </c>
      <c r="W58" s="30" t="str">
        <f t="shared" si="3"/>
        <v>－</v>
      </c>
      <c r="X58" s="34">
        <f>22</f>
        <v>22</v>
      </c>
    </row>
    <row r="59" spans="1:24" x14ac:dyDescent="0.15">
      <c r="A59" s="25" t="s">
        <v>1006</v>
      </c>
      <c r="B59" s="25" t="s">
        <v>209</v>
      </c>
      <c r="C59" s="25" t="s">
        <v>210</v>
      </c>
      <c r="D59" s="25" t="s">
        <v>211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13990</f>
        <v>13990</v>
      </c>
      <c r="L59" s="32" t="s">
        <v>904</v>
      </c>
      <c r="M59" s="31">
        <f>14845</f>
        <v>14845</v>
      </c>
      <c r="N59" s="32" t="s">
        <v>816</v>
      </c>
      <c r="O59" s="31">
        <f>13660</f>
        <v>13660</v>
      </c>
      <c r="P59" s="32" t="s">
        <v>909</v>
      </c>
      <c r="Q59" s="31">
        <f>14140</f>
        <v>14140</v>
      </c>
      <c r="R59" s="32" t="s">
        <v>818</v>
      </c>
      <c r="S59" s="33">
        <f>14146.25</f>
        <v>14146.25</v>
      </c>
      <c r="T59" s="30">
        <f>2080</f>
        <v>2080</v>
      </c>
      <c r="U59" s="30" t="str">
        <f t="shared" si="2"/>
        <v>－</v>
      </c>
      <c r="V59" s="30">
        <f>29755600</f>
        <v>29755600</v>
      </c>
      <c r="W59" s="30" t="str">
        <f t="shared" si="3"/>
        <v>－</v>
      </c>
      <c r="X59" s="34">
        <f>20</f>
        <v>20</v>
      </c>
    </row>
    <row r="60" spans="1:24" x14ac:dyDescent="0.15">
      <c r="A60" s="25" t="s">
        <v>1006</v>
      </c>
      <c r="B60" s="25" t="s">
        <v>212</v>
      </c>
      <c r="C60" s="25" t="s">
        <v>213</v>
      </c>
      <c r="D60" s="25" t="s">
        <v>214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4419</f>
        <v>4419</v>
      </c>
      <c r="L60" s="32" t="s">
        <v>905</v>
      </c>
      <c r="M60" s="31">
        <f>4419</f>
        <v>4419</v>
      </c>
      <c r="N60" s="32" t="s">
        <v>905</v>
      </c>
      <c r="O60" s="31">
        <f>4097</f>
        <v>4097</v>
      </c>
      <c r="P60" s="32" t="s">
        <v>935</v>
      </c>
      <c r="Q60" s="31">
        <f>4197</f>
        <v>4197</v>
      </c>
      <c r="R60" s="32" t="s">
        <v>818</v>
      </c>
      <c r="S60" s="33">
        <f>4236.45</f>
        <v>4236.45</v>
      </c>
      <c r="T60" s="30">
        <f>1320</f>
        <v>1320</v>
      </c>
      <c r="U60" s="30" t="str">
        <f t="shared" si="2"/>
        <v>－</v>
      </c>
      <c r="V60" s="30">
        <f>5546870</f>
        <v>5546870</v>
      </c>
      <c r="W60" s="30" t="str">
        <f t="shared" si="3"/>
        <v>－</v>
      </c>
      <c r="X60" s="34">
        <f>11</f>
        <v>11</v>
      </c>
    </row>
    <row r="61" spans="1:24" x14ac:dyDescent="0.15">
      <c r="A61" s="25" t="s">
        <v>1006</v>
      </c>
      <c r="B61" s="25" t="s">
        <v>215</v>
      </c>
      <c r="C61" s="25" t="s">
        <v>216</v>
      </c>
      <c r="D61" s="25" t="s">
        <v>217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1786.5</f>
        <v>1786.5</v>
      </c>
      <c r="L61" s="32" t="s">
        <v>904</v>
      </c>
      <c r="M61" s="31">
        <f>1834.5</f>
        <v>1834.5</v>
      </c>
      <c r="N61" s="32" t="s">
        <v>907</v>
      </c>
      <c r="O61" s="31">
        <f>1677.5</f>
        <v>1677.5</v>
      </c>
      <c r="P61" s="32" t="s">
        <v>816</v>
      </c>
      <c r="Q61" s="31">
        <f>1733.5</f>
        <v>1733.5</v>
      </c>
      <c r="R61" s="32" t="s">
        <v>818</v>
      </c>
      <c r="S61" s="33">
        <f>1750.89</f>
        <v>1750.89</v>
      </c>
      <c r="T61" s="30">
        <f>75600</f>
        <v>75600</v>
      </c>
      <c r="U61" s="30" t="str">
        <f t="shared" si="2"/>
        <v>－</v>
      </c>
      <c r="V61" s="30">
        <f>133074670</f>
        <v>133074670</v>
      </c>
      <c r="W61" s="30" t="str">
        <f t="shared" si="3"/>
        <v>－</v>
      </c>
      <c r="X61" s="34">
        <f>22</f>
        <v>22</v>
      </c>
    </row>
    <row r="62" spans="1:24" x14ac:dyDescent="0.15">
      <c r="A62" s="25" t="s">
        <v>1006</v>
      </c>
      <c r="B62" s="25" t="s">
        <v>221</v>
      </c>
      <c r="C62" s="25" t="s">
        <v>222</v>
      </c>
      <c r="D62" s="25" t="s">
        <v>223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738</f>
        <v>738</v>
      </c>
      <c r="L62" s="32" t="s">
        <v>904</v>
      </c>
      <c r="M62" s="31">
        <f>756</f>
        <v>756</v>
      </c>
      <c r="N62" s="32" t="s">
        <v>905</v>
      </c>
      <c r="O62" s="31">
        <f>677</f>
        <v>677</v>
      </c>
      <c r="P62" s="32" t="s">
        <v>935</v>
      </c>
      <c r="Q62" s="31">
        <f>706</f>
        <v>706</v>
      </c>
      <c r="R62" s="32" t="s">
        <v>818</v>
      </c>
      <c r="S62" s="33">
        <f>712.45</f>
        <v>712.45</v>
      </c>
      <c r="T62" s="30">
        <f>58649</f>
        <v>58649</v>
      </c>
      <c r="U62" s="30" t="str">
        <f t="shared" si="2"/>
        <v>－</v>
      </c>
      <c r="V62" s="30">
        <f>41472972</f>
        <v>41472972</v>
      </c>
      <c r="W62" s="30" t="str">
        <f t="shared" si="3"/>
        <v>－</v>
      </c>
      <c r="X62" s="34">
        <f>22</f>
        <v>22</v>
      </c>
    </row>
    <row r="63" spans="1:24" x14ac:dyDescent="0.15">
      <c r="A63" s="25" t="s">
        <v>1006</v>
      </c>
      <c r="B63" s="25" t="s">
        <v>224</v>
      </c>
      <c r="C63" s="25" t="s">
        <v>225</v>
      </c>
      <c r="D63" s="25" t="s">
        <v>226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1965.5</f>
        <v>1965.5</v>
      </c>
      <c r="L63" s="32" t="s">
        <v>904</v>
      </c>
      <c r="M63" s="31">
        <f>2031</f>
        <v>2031</v>
      </c>
      <c r="N63" s="32" t="s">
        <v>819</v>
      </c>
      <c r="O63" s="31">
        <f>1947.5</f>
        <v>1947.5</v>
      </c>
      <c r="P63" s="32" t="s">
        <v>909</v>
      </c>
      <c r="Q63" s="31">
        <f>1984</f>
        <v>1984</v>
      </c>
      <c r="R63" s="32" t="s">
        <v>818</v>
      </c>
      <c r="S63" s="33">
        <f>1986.61</f>
        <v>1986.61</v>
      </c>
      <c r="T63" s="30">
        <f>321390</f>
        <v>321390</v>
      </c>
      <c r="U63" s="30" t="str">
        <f t="shared" si="2"/>
        <v>－</v>
      </c>
      <c r="V63" s="30">
        <f>647046000</f>
        <v>647046000</v>
      </c>
      <c r="W63" s="30" t="str">
        <f t="shared" si="3"/>
        <v>－</v>
      </c>
      <c r="X63" s="34">
        <f>22</f>
        <v>22</v>
      </c>
    </row>
    <row r="64" spans="1:24" x14ac:dyDescent="0.15">
      <c r="A64" s="25" t="s">
        <v>1006</v>
      </c>
      <c r="B64" s="25" t="s">
        <v>227</v>
      </c>
      <c r="C64" s="25" t="s">
        <v>228</v>
      </c>
      <c r="D64" s="25" t="s">
        <v>229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17745</f>
        <v>17745</v>
      </c>
      <c r="L64" s="32" t="s">
        <v>904</v>
      </c>
      <c r="M64" s="31">
        <f>18200</f>
        <v>18200</v>
      </c>
      <c r="N64" s="32" t="s">
        <v>819</v>
      </c>
      <c r="O64" s="31">
        <f>17460</f>
        <v>17460</v>
      </c>
      <c r="P64" s="32" t="s">
        <v>909</v>
      </c>
      <c r="Q64" s="31">
        <f>17780</f>
        <v>17780</v>
      </c>
      <c r="R64" s="32" t="s">
        <v>818</v>
      </c>
      <c r="S64" s="33">
        <f>17800.23</f>
        <v>17800.23</v>
      </c>
      <c r="T64" s="30">
        <f>2566</f>
        <v>2566</v>
      </c>
      <c r="U64" s="30" t="str">
        <f t="shared" si="2"/>
        <v>－</v>
      </c>
      <c r="V64" s="30">
        <f>45784305</f>
        <v>45784305</v>
      </c>
      <c r="W64" s="30" t="str">
        <f t="shared" si="3"/>
        <v>－</v>
      </c>
      <c r="X64" s="34">
        <f>22</f>
        <v>22</v>
      </c>
    </row>
    <row r="65" spans="1:24" x14ac:dyDescent="0.15">
      <c r="A65" s="25" t="s">
        <v>1006</v>
      </c>
      <c r="B65" s="25" t="s">
        <v>230</v>
      </c>
      <c r="C65" s="25" t="s">
        <v>231</v>
      </c>
      <c r="D65" s="25" t="s">
        <v>232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2005</f>
        <v>2005</v>
      </c>
      <c r="L65" s="32" t="s">
        <v>904</v>
      </c>
      <c r="M65" s="31">
        <f>2042</f>
        <v>2042</v>
      </c>
      <c r="N65" s="32" t="s">
        <v>819</v>
      </c>
      <c r="O65" s="31">
        <f>1959</f>
        <v>1959</v>
      </c>
      <c r="P65" s="32" t="s">
        <v>905</v>
      </c>
      <c r="Q65" s="31">
        <f>1995</f>
        <v>1995</v>
      </c>
      <c r="R65" s="32" t="s">
        <v>818</v>
      </c>
      <c r="S65" s="33">
        <f>2004.45</f>
        <v>2004.45</v>
      </c>
      <c r="T65" s="30">
        <f>6916165</f>
        <v>6916165</v>
      </c>
      <c r="U65" s="30">
        <f>613496</f>
        <v>613496</v>
      </c>
      <c r="V65" s="30">
        <f>13784101824</f>
        <v>13784101824</v>
      </c>
      <c r="W65" s="30">
        <f>1224669717</f>
        <v>1224669717</v>
      </c>
      <c r="X65" s="34">
        <f>22</f>
        <v>22</v>
      </c>
    </row>
    <row r="66" spans="1:24" x14ac:dyDescent="0.15">
      <c r="A66" s="25" t="s">
        <v>1006</v>
      </c>
      <c r="B66" s="25" t="s">
        <v>233</v>
      </c>
      <c r="C66" s="25" t="s">
        <v>234</v>
      </c>
      <c r="D66" s="25" t="s">
        <v>235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2098</f>
        <v>2098</v>
      </c>
      <c r="L66" s="32" t="s">
        <v>904</v>
      </c>
      <c r="M66" s="31">
        <f>2109</f>
        <v>2109</v>
      </c>
      <c r="N66" s="32" t="s">
        <v>818</v>
      </c>
      <c r="O66" s="31">
        <f>2058</f>
        <v>2058</v>
      </c>
      <c r="P66" s="32" t="s">
        <v>905</v>
      </c>
      <c r="Q66" s="31">
        <f>2103</f>
        <v>2103</v>
      </c>
      <c r="R66" s="32" t="s">
        <v>818</v>
      </c>
      <c r="S66" s="33">
        <f>2082.73</f>
        <v>2082.73</v>
      </c>
      <c r="T66" s="30">
        <f>7216157</f>
        <v>7216157</v>
      </c>
      <c r="U66" s="30">
        <f>4163482</f>
        <v>4163482</v>
      </c>
      <c r="V66" s="30">
        <f>14951756283</f>
        <v>14951756283</v>
      </c>
      <c r="W66" s="30">
        <f>8615274238</f>
        <v>8615274238</v>
      </c>
      <c r="X66" s="34">
        <f>22</f>
        <v>22</v>
      </c>
    </row>
    <row r="67" spans="1:24" x14ac:dyDescent="0.15">
      <c r="A67" s="25" t="s">
        <v>1006</v>
      </c>
      <c r="B67" s="25" t="s">
        <v>236</v>
      </c>
      <c r="C67" s="25" t="s">
        <v>237</v>
      </c>
      <c r="D67" s="25" t="s">
        <v>238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1915</f>
        <v>1915</v>
      </c>
      <c r="L67" s="32" t="s">
        <v>904</v>
      </c>
      <c r="M67" s="31">
        <f>1964</f>
        <v>1964</v>
      </c>
      <c r="N67" s="32" t="s">
        <v>819</v>
      </c>
      <c r="O67" s="31">
        <f>1875</f>
        <v>1875</v>
      </c>
      <c r="P67" s="32" t="s">
        <v>905</v>
      </c>
      <c r="Q67" s="31">
        <f>1904</f>
        <v>1904</v>
      </c>
      <c r="R67" s="32" t="s">
        <v>818</v>
      </c>
      <c r="S67" s="33">
        <f>1911.95</f>
        <v>1911.95</v>
      </c>
      <c r="T67" s="30">
        <f>77348</f>
        <v>77348</v>
      </c>
      <c r="U67" s="30">
        <f>30658</f>
        <v>30658</v>
      </c>
      <c r="V67" s="30">
        <f>147842655</f>
        <v>147842655</v>
      </c>
      <c r="W67" s="30">
        <f>58791519</f>
        <v>58791519</v>
      </c>
      <c r="X67" s="34">
        <f>22</f>
        <v>22</v>
      </c>
    </row>
    <row r="68" spans="1:24" x14ac:dyDescent="0.15">
      <c r="A68" s="25" t="s">
        <v>1006</v>
      </c>
      <c r="B68" s="25" t="s">
        <v>239</v>
      </c>
      <c r="C68" s="25" t="s">
        <v>240</v>
      </c>
      <c r="D68" s="25" t="s">
        <v>241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2408</f>
        <v>2408</v>
      </c>
      <c r="L68" s="32" t="s">
        <v>904</v>
      </c>
      <c r="M68" s="31">
        <f>2415</f>
        <v>2415</v>
      </c>
      <c r="N68" s="32" t="s">
        <v>904</v>
      </c>
      <c r="O68" s="31">
        <f>2296</f>
        <v>2296</v>
      </c>
      <c r="P68" s="32" t="s">
        <v>905</v>
      </c>
      <c r="Q68" s="31">
        <f>2392</f>
        <v>2392</v>
      </c>
      <c r="R68" s="32" t="s">
        <v>818</v>
      </c>
      <c r="S68" s="33">
        <f>2372.68</f>
        <v>2372.6799999999998</v>
      </c>
      <c r="T68" s="30">
        <f>523559</f>
        <v>523559</v>
      </c>
      <c r="U68" s="30">
        <f>126385</f>
        <v>126385</v>
      </c>
      <c r="V68" s="30">
        <f>1239656232</f>
        <v>1239656232</v>
      </c>
      <c r="W68" s="30">
        <f>299911605</f>
        <v>299911605</v>
      </c>
      <c r="X68" s="34">
        <f>22</f>
        <v>22</v>
      </c>
    </row>
    <row r="69" spans="1:24" x14ac:dyDescent="0.15">
      <c r="A69" s="25" t="s">
        <v>1006</v>
      </c>
      <c r="B69" s="25" t="s">
        <v>242</v>
      </c>
      <c r="C69" s="25" t="s">
        <v>243</v>
      </c>
      <c r="D69" s="25" t="s">
        <v>244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24160</f>
        <v>24160</v>
      </c>
      <c r="L69" s="32" t="s">
        <v>904</v>
      </c>
      <c r="M69" s="31">
        <f>24605</f>
        <v>24605</v>
      </c>
      <c r="N69" s="32" t="s">
        <v>915</v>
      </c>
      <c r="O69" s="31">
        <f>23860</f>
        <v>23860</v>
      </c>
      <c r="P69" s="32" t="s">
        <v>936</v>
      </c>
      <c r="Q69" s="31">
        <f>24340</f>
        <v>24340</v>
      </c>
      <c r="R69" s="32" t="s">
        <v>934</v>
      </c>
      <c r="S69" s="33">
        <f>24282.78</f>
        <v>24282.78</v>
      </c>
      <c r="T69" s="30">
        <f>567</f>
        <v>567</v>
      </c>
      <c r="U69" s="30" t="str">
        <f>"－"</f>
        <v>－</v>
      </c>
      <c r="V69" s="30">
        <f>13677375</f>
        <v>13677375</v>
      </c>
      <c r="W69" s="30" t="str">
        <f>"－"</f>
        <v>－</v>
      </c>
      <c r="X69" s="34">
        <f>9</f>
        <v>9</v>
      </c>
    </row>
    <row r="70" spans="1:24" x14ac:dyDescent="0.15">
      <c r="A70" s="25" t="s">
        <v>1006</v>
      </c>
      <c r="B70" s="25" t="s">
        <v>245</v>
      </c>
      <c r="C70" s="25" t="s">
        <v>246</v>
      </c>
      <c r="D70" s="25" t="s">
        <v>247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19615</f>
        <v>19615</v>
      </c>
      <c r="L70" s="32" t="s">
        <v>904</v>
      </c>
      <c r="M70" s="31">
        <f>20155</f>
        <v>20155</v>
      </c>
      <c r="N70" s="32" t="s">
        <v>816</v>
      </c>
      <c r="O70" s="31">
        <f>19320</f>
        <v>19320</v>
      </c>
      <c r="P70" s="32" t="s">
        <v>907</v>
      </c>
      <c r="Q70" s="31">
        <f>19655</f>
        <v>19655</v>
      </c>
      <c r="R70" s="32" t="s">
        <v>934</v>
      </c>
      <c r="S70" s="33">
        <f>19794.29</f>
        <v>19794.29</v>
      </c>
      <c r="T70" s="30">
        <f>338</f>
        <v>338</v>
      </c>
      <c r="U70" s="30" t="str">
        <f>"－"</f>
        <v>－</v>
      </c>
      <c r="V70" s="30">
        <f>6655125</f>
        <v>6655125</v>
      </c>
      <c r="W70" s="30" t="str">
        <f>"－"</f>
        <v>－</v>
      </c>
      <c r="X70" s="34">
        <f>7</f>
        <v>7</v>
      </c>
    </row>
    <row r="71" spans="1:24" x14ac:dyDescent="0.15">
      <c r="A71" s="25" t="s">
        <v>1006</v>
      </c>
      <c r="B71" s="25" t="s">
        <v>248</v>
      </c>
      <c r="C71" s="25" t="s">
        <v>249</v>
      </c>
      <c r="D71" s="25" t="s">
        <v>250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2008</f>
        <v>2008</v>
      </c>
      <c r="L71" s="32" t="s">
        <v>904</v>
      </c>
      <c r="M71" s="31">
        <f>2069</f>
        <v>2069</v>
      </c>
      <c r="N71" s="32" t="s">
        <v>814</v>
      </c>
      <c r="O71" s="31">
        <f>1978</f>
        <v>1978</v>
      </c>
      <c r="P71" s="32" t="s">
        <v>905</v>
      </c>
      <c r="Q71" s="31">
        <f>2023</f>
        <v>2023</v>
      </c>
      <c r="R71" s="32" t="s">
        <v>818</v>
      </c>
      <c r="S71" s="33">
        <f>2025.68</f>
        <v>2025.68</v>
      </c>
      <c r="T71" s="30">
        <f>2155</f>
        <v>2155</v>
      </c>
      <c r="U71" s="30" t="str">
        <f>"－"</f>
        <v>－</v>
      </c>
      <c r="V71" s="30">
        <f>4389263</f>
        <v>4389263</v>
      </c>
      <c r="W71" s="30" t="str">
        <f>"－"</f>
        <v>－</v>
      </c>
      <c r="X71" s="34">
        <f>22</f>
        <v>22</v>
      </c>
    </row>
    <row r="72" spans="1:24" x14ac:dyDescent="0.15">
      <c r="A72" s="25" t="s">
        <v>1006</v>
      </c>
      <c r="B72" s="25" t="s">
        <v>251</v>
      </c>
      <c r="C72" s="25" t="s">
        <v>252</v>
      </c>
      <c r="D72" s="25" t="s">
        <v>253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2108</f>
        <v>2108</v>
      </c>
      <c r="L72" s="32" t="s">
        <v>904</v>
      </c>
      <c r="M72" s="31">
        <f>2129</f>
        <v>2129</v>
      </c>
      <c r="N72" s="32" t="s">
        <v>909</v>
      </c>
      <c r="O72" s="31">
        <f>2025</f>
        <v>2025</v>
      </c>
      <c r="P72" s="32" t="s">
        <v>936</v>
      </c>
      <c r="Q72" s="31">
        <f>2030</f>
        <v>2030</v>
      </c>
      <c r="R72" s="32" t="s">
        <v>818</v>
      </c>
      <c r="S72" s="33">
        <f>2069.05</f>
        <v>2069.0500000000002</v>
      </c>
      <c r="T72" s="30">
        <f>6485801</f>
        <v>6485801</v>
      </c>
      <c r="U72" s="30">
        <f>4876852</f>
        <v>4876852</v>
      </c>
      <c r="V72" s="30">
        <f>13347070146</f>
        <v>13347070146</v>
      </c>
      <c r="W72" s="30">
        <f>10005974733</f>
        <v>10005974733</v>
      </c>
      <c r="X72" s="34">
        <f>22</f>
        <v>22</v>
      </c>
    </row>
    <row r="73" spans="1:24" x14ac:dyDescent="0.15">
      <c r="A73" s="25" t="s">
        <v>1006</v>
      </c>
      <c r="B73" s="25" t="s">
        <v>254</v>
      </c>
      <c r="C73" s="25" t="s">
        <v>255</v>
      </c>
      <c r="D73" s="25" t="s">
        <v>256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2227</f>
        <v>2227</v>
      </c>
      <c r="L73" s="32" t="s">
        <v>904</v>
      </c>
      <c r="M73" s="31">
        <f>2430</f>
        <v>2430</v>
      </c>
      <c r="N73" s="32" t="s">
        <v>810</v>
      </c>
      <c r="O73" s="31">
        <f>2165</f>
        <v>2165</v>
      </c>
      <c r="P73" s="32" t="s">
        <v>812</v>
      </c>
      <c r="Q73" s="31">
        <f>2245</f>
        <v>2245</v>
      </c>
      <c r="R73" s="32" t="s">
        <v>818</v>
      </c>
      <c r="S73" s="33">
        <f>2265.77</f>
        <v>2265.77</v>
      </c>
      <c r="T73" s="30">
        <f>5244</f>
        <v>5244</v>
      </c>
      <c r="U73" s="30" t="str">
        <f>"－"</f>
        <v>－</v>
      </c>
      <c r="V73" s="30">
        <f>12001589</f>
        <v>12001589</v>
      </c>
      <c r="W73" s="30" t="str">
        <f>"－"</f>
        <v>－</v>
      </c>
      <c r="X73" s="34">
        <f>22</f>
        <v>22</v>
      </c>
    </row>
    <row r="74" spans="1:24" x14ac:dyDescent="0.15">
      <c r="A74" s="25" t="s">
        <v>1006</v>
      </c>
      <c r="B74" s="25" t="s">
        <v>257</v>
      </c>
      <c r="C74" s="25" t="s">
        <v>258</v>
      </c>
      <c r="D74" s="25" t="s">
        <v>259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1980.5</f>
        <v>1980.5</v>
      </c>
      <c r="L74" s="32" t="s">
        <v>904</v>
      </c>
      <c r="M74" s="31">
        <f>2043.5</f>
        <v>2043.5</v>
      </c>
      <c r="N74" s="32" t="s">
        <v>819</v>
      </c>
      <c r="O74" s="31">
        <f>1954.5</f>
        <v>1954.5</v>
      </c>
      <c r="P74" s="32" t="s">
        <v>909</v>
      </c>
      <c r="Q74" s="31">
        <f>1996</f>
        <v>1996</v>
      </c>
      <c r="R74" s="32" t="s">
        <v>818</v>
      </c>
      <c r="S74" s="33">
        <f>1998.84</f>
        <v>1998.84</v>
      </c>
      <c r="T74" s="30">
        <f>24660</f>
        <v>24660</v>
      </c>
      <c r="U74" s="30" t="str">
        <f>"－"</f>
        <v>－</v>
      </c>
      <c r="V74" s="30">
        <f>49173185</f>
        <v>49173185</v>
      </c>
      <c r="W74" s="30" t="str">
        <f>"－"</f>
        <v>－</v>
      </c>
      <c r="X74" s="34">
        <f>22</f>
        <v>22</v>
      </c>
    </row>
    <row r="75" spans="1:24" x14ac:dyDescent="0.15">
      <c r="A75" s="25" t="s">
        <v>1006</v>
      </c>
      <c r="B75" s="25" t="s">
        <v>260</v>
      </c>
      <c r="C75" s="25" t="s">
        <v>261</v>
      </c>
      <c r="D75" s="25" t="s">
        <v>262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30000</f>
        <v>30000</v>
      </c>
      <c r="L75" s="32" t="s">
        <v>904</v>
      </c>
      <c r="M75" s="31">
        <f>31780</f>
        <v>31780</v>
      </c>
      <c r="N75" s="32" t="s">
        <v>819</v>
      </c>
      <c r="O75" s="31">
        <f>29920</f>
        <v>29920</v>
      </c>
      <c r="P75" s="32" t="s">
        <v>909</v>
      </c>
      <c r="Q75" s="31">
        <f>31780</f>
        <v>31780</v>
      </c>
      <c r="R75" s="32" t="s">
        <v>819</v>
      </c>
      <c r="S75" s="33">
        <f>31067.78</f>
        <v>31067.78</v>
      </c>
      <c r="T75" s="30">
        <f>23</f>
        <v>23</v>
      </c>
      <c r="U75" s="30" t="str">
        <f>"－"</f>
        <v>－</v>
      </c>
      <c r="V75" s="30">
        <f>715960</f>
        <v>715960</v>
      </c>
      <c r="W75" s="30" t="str">
        <f>"－"</f>
        <v>－</v>
      </c>
      <c r="X75" s="34">
        <f>9</f>
        <v>9</v>
      </c>
    </row>
    <row r="76" spans="1:24" x14ac:dyDescent="0.15">
      <c r="A76" s="25" t="s">
        <v>1006</v>
      </c>
      <c r="B76" s="25" t="s">
        <v>263</v>
      </c>
      <c r="C76" s="25" t="s">
        <v>264</v>
      </c>
      <c r="D76" s="25" t="s">
        <v>265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23130</f>
        <v>23130</v>
      </c>
      <c r="L76" s="32" t="s">
        <v>904</v>
      </c>
      <c r="M76" s="31">
        <f>23435</f>
        <v>23435</v>
      </c>
      <c r="N76" s="32" t="s">
        <v>934</v>
      </c>
      <c r="O76" s="31">
        <f>22750</f>
        <v>22750</v>
      </c>
      <c r="P76" s="32" t="s">
        <v>813</v>
      </c>
      <c r="Q76" s="31">
        <f>23275</f>
        <v>23275</v>
      </c>
      <c r="R76" s="32" t="s">
        <v>818</v>
      </c>
      <c r="S76" s="33">
        <f>23139.09</f>
        <v>23139.09</v>
      </c>
      <c r="T76" s="30">
        <f>348514</f>
        <v>348514</v>
      </c>
      <c r="U76" s="30">
        <f>116658</f>
        <v>116658</v>
      </c>
      <c r="V76" s="30">
        <f>8039007121</f>
        <v>8039007121</v>
      </c>
      <c r="W76" s="30">
        <f>2690487746</f>
        <v>2690487746</v>
      </c>
      <c r="X76" s="34">
        <f>22</f>
        <v>22</v>
      </c>
    </row>
    <row r="77" spans="1:24" x14ac:dyDescent="0.15">
      <c r="A77" s="25" t="s">
        <v>1006</v>
      </c>
      <c r="B77" s="25" t="s">
        <v>267</v>
      </c>
      <c r="C77" s="25" t="s">
        <v>268</v>
      </c>
      <c r="D77" s="25" t="s">
        <v>269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16305</f>
        <v>16305</v>
      </c>
      <c r="L77" s="32" t="s">
        <v>904</v>
      </c>
      <c r="M77" s="31">
        <f>16450</f>
        <v>16450</v>
      </c>
      <c r="N77" s="32" t="s">
        <v>909</v>
      </c>
      <c r="O77" s="31">
        <f>15635</f>
        <v>15635</v>
      </c>
      <c r="P77" s="32" t="s">
        <v>818</v>
      </c>
      <c r="Q77" s="31">
        <f>15655</f>
        <v>15655</v>
      </c>
      <c r="R77" s="32" t="s">
        <v>818</v>
      </c>
      <c r="S77" s="33">
        <f>15990.91</f>
        <v>15990.91</v>
      </c>
      <c r="T77" s="30">
        <f>623185</f>
        <v>623185</v>
      </c>
      <c r="U77" s="30">
        <f>429985</f>
        <v>429985</v>
      </c>
      <c r="V77" s="30">
        <f>9901443155</f>
        <v>9901443155</v>
      </c>
      <c r="W77" s="30">
        <f>6837753755</f>
        <v>6837753755</v>
      </c>
      <c r="X77" s="34">
        <f>22</f>
        <v>22</v>
      </c>
    </row>
    <row r="78" spans="1:24" x14ac:dyDescent="0.15">
      <c r="A78" s="25" t="s">
        <v>1006</v>
      </c>
      <c r="B78" s="25" t="s">
        <v>270</v>
      </c>
      <c r="C78" s="25" t="s">
        <v>271</v>
      </c>
      <c r="D78" s="25" t="s">
        <v>272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2092</f>
        <v>2092</v>
      </c>
      <c r="L78" s="32" t="s">
        <v>904</v>
      </c>
      <c r="M78" s="31">
        <f>2123</f>
        <v>2123</v>
      </c>
      <c r="N78" s="32" t="s">
        <v>818</v>
      </c>
      <c r="O78" s="31">
        <f>2066</f>
        <v>2066</v>
      </c>
      <c r="P78" s="32" t="s">
        <v>907</v>
      </c>
      <c r="Q78" s="31">
        <f>2113.5</f>
        <v>2113.5</v>
      </c>
      <c r="R78" s="32" t="s">
        <v>818</v>
      </c>
      <c r="S78" s="33">
        <f>2092.36</f>
        <v>2092.36</v>
      </c>
      <c r="T78" s="30">
        <f>2286400</f>
        <v>2286400</v>
      </c>
      <c r="U78" s="30">
        <f>966980</f>
        <v>966980</v>
      </c>
      <c r="V78" s="30">
        <f>4782212053</f>
        <v>4782212053</v>
      </c>
      <c r="W78" s="30">
        <f>2020978283</f>
        <v>2020978283</v>
      </c>
      <c r="X78" s="34">
        <f>22</f>
        <v>22</v>
      </c>
    </row>
    <row r="79" spans="1:24" x14ac:dyDescent="0.15">
      <c r="A79" s="25" t="s">
        <v>1006</v>
      </c>
      <c r="B79" s="25" t="s">
        <v>273</v>
      </c>
      <c r="C79" s="25" t="s">
        <v>274</v>
      </c>
      <c r="D79" s="25" t="s">
        <v>275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41090</f>
        <v>41090</v>
      </c>
      <c r="L79" s="32" t="s">
        <v>904</v>
      </c>
      <c r="M79" s="31">
        <f>42130</f>
        <v>42130</v>
      </c>
      <c r="N79" s="32" t="s">
        <v>812</v>
      </c>
      <c r="O79" s="31">
        <f>40220</f>
        <v>40220</v>
      </c>
      <c r="P79" s="32" t="s">
        <v>810</v>
      </c>
      <c r="Q79" s="31">
        <f>41860</f>
        <v>41860</v>
      </c>
      <c r="R79" s="32" t="s">
        <v>818</v>
      </c>
      <c r="S79" s="33">
        <f>41349.09</f>
        <v>41349.089999999997</v>
      </c>
      <c r="T79" s="30">
        <f>95913</f>
        <v>95913</v>
      </c>
      <c r="U79" s="30">
        <f>19180</f>
        <v>19180</v>
      </c>
      <c r="V79" s="30">
        <f>3965426244</f>
        <v>3965426244</v>
      </c>
      <c r="W79" s="30">
        <f>797749554</f>
        <v>797749554</v>
      </c>
      <c r="X79" s="34">
        <f>22</f>
        <v>22</v>
      </c>
    </row>
    <row r="80" spans="1:24" x14ac:dyDescent="0.15">
      <c r="A80" s="25" t="s">
        <v>1006</v>
      </c>
      <c r="B80" s="25" t="s">
        <v>276</v>
      </c>
      <c r="C80" s="25" t="s">
        <v>277</v>
      </c>
      <c r="D80" s="25" t="s">
        <v>278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7748</f>
        <v>7748</v>
      </c>
      <c r="L80" s="32" t="s">
        <v>912</v>
      </c>
      <c r="M80" s="31">
        <f>7748</f>
        <v>7748</v>
      </c>
      <c r="N80" s="32" t="s">
        <v>912</v>
      </c>
      <c r="O80" s="31">
        <f>7707</f>
        <v>7707</v>
      </c>
      <c r="P80" s="32" t="s">
        <v>912</v>
      </c>
      <c r="Q80" s="31">
        <f>7737</f>
        <v>7737</v>
      </c>
      <c r="R80" s="32" t="s">
        <v>912</v>
      </c>
      <c r="S80" s="33">
        <f>7737</f>
        <v>7737</v>
      </c>
      <c r="T80" s="30">
        <f>40</f>
        <v>40</v>
      </c>
      <c r="U80" s="30" t="str">
        <f>"－"</f>
        <v>－</v>
      </c>
      <c r="V80" s="30">
        <f>309170</f>
        <v>309170</v>
      </c>
      <c r="W80" s="30" t="str">
        <f>"－"</f>
        <v>－</v>
      </c>
      <c r="X80" s="34">
        <f>1</f>
        <v>1</v>
      </c>
    </row>
    <row r="81" spans="1:24" x14ac:dyDescent="0.15">
      <c r="A81" s="25" t="s">
        <v>1006</v>
      </c>
      <c r="B81" s="25" t="s">
        <v>279</v>
      </c>
      <c r="C81" s="25" t="s">
        <v>280</v>
      </c>
      <c r="D81" s="25" t="s">
        <v>281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15500</f>
        <v>15500</v>
      </c>
      <c r="L81" s="32" t="s">
        <v>904</v>
      </c>
      <c r="M81" s="31">
        <f>16125</f>
        <v>16125</v>
      </c>
      <c r="N81" s="32" t="s">
        <v>812</v>
      </c>
      <c r="O81" s="31">
        <f>15440</f>
        <v>15440</v>
      </c>
      <c r="P81" s="32" t="s">
        <v>909</v>
      </c>
      <c r="Q81" s="31">
        <f>15845</f>
        <v>15845</v>
      </c>
      <c r="R81" s="32" t="s">
        <v>818</v>
      </c>
      <c r="S81" s="33">
        <f>15771.43</f>
        <v>15771.43</v>
      </c>
      <c r="T81" s="30">
        <f>486</f>
        <v>486</v>
      </c>
      <c r="U81" s="30" t="str">
        <f>"－"</f>
        <v>－</v>
      </c>
      <c r="V81" s="30">
        <f>7707185</f>
        <v>7707185</v>
      </c>
      <c r="W81" s="30" t="str">
        <f>"－"</f>
        <v>－</v>
      </c>
      <c r="X81" s="34">
        <f>21</f>
        <v>21</v>
      </c>
    </row>
    <row r="82" spans="1:24" x14ac:dyDescent="0.15">
      <c r="A82" s="25" t="s">
        <v>1006</v>
      </c>
      <c r="B82" s="25" t="s">
        <v>282</v>
      </c>
      <c r="C82" s="25" t="s">
        <v>283</v>
      </c>
      <c r="D82" s="25" t="s">
        <v>284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15455</f>
        <v>15455</v>
      </c>
      <c r="L82" s="32" t="s">
        <v>904</v>
      </c>
      <c r="M82" s="31">
        <f>15895</f>
        <v>15895</v>
      </c>
      <c r="N82" s="32" t="s">
        <v>816</v>
      </c>
      <c r="O82" s="31">
        <f>15280</f>
        <v>15280</v>
      </c>
      <c r="P82" s="32" t="s">
        <v>907</v>
      </c>
      <c r="Q82" s="31">
        <f>15705</f>
        <v>15705</v>
      </c>
      <c r="R82" s="32" t="s">
        <v>818</v>
      </c>
      <c r="S82" s="33">
        <f>15641.59</f>
        <v>15641.59</v>
      </c>
      <c r="T82" s="30">
        <f>787</f>
        <v>787</v>
      </c>
      <c r="U82" s="30" t="str">
        <f>"－"</f>
        <v>－</v>
      </c>
      <c r="V82" s="30">
        <f>12353020</f>
        <v>12353020</v>
      </c>
      <c r="W82" s="30" t="str">
        <f>"－"</f>
        <v>－</v>
      </c>
      <c r="X82" s="34">
        <f>22</f>
        <v>22</v>
      </c>
    </row>
    <row r="83" spans="1:24" x14ac:dyDescent="0.15">
      <c r="A83" s="25" t="s">
        <v>1006</v>
      </c>
      <c r="B83" s="25" t="s">
        <v>285</v>
      </c>
      <c r="C83" s="25" t="s">
        <v>286</v>
      </c>
      <c r="D83" s="25" t="s">
        <v>287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20250</f>
        <v>20250</v>
      </c>
      <c r="L83" s="32" t="s">
        <v>904</v>
      </c>
      <c r="M83" s="31">
        <f>20640</f>
        <v>20640</v>
      </c>
      <c r="N83" s="32" t="s">
        <v>812</v>
      </c>
      <c r="O83" s="31">
        <f>19750</f>
        <v>19750</v>
      </c>
      <c r="P83" s="32" t="s">
        <v>905</v>
      </c>
      <c r="Q83" s="31">
        <f>20445</f>
        <v>20445</v>
      </c>
      <c r="R83" s="32" t="s">
        <v>818</v>
      </c>
      <c r="S83" s="33">
        <f>20244.77</f>
        <v>20244.77</v>
      </c>
      <c r="T83" s="30">
        <f>4464</f>
        <v>4464</v>
      </c>
      <c r="U83" s="30" t="str">
        <f>"－"</f>
        <v>－</v>
      </c>
      <c r="V83" s="30">
        <f>90456560</f>
        <v>90456560</v>
      </c>
      <c r="W83" s="30" t="str">
        <f>"－"</f>
        <v>－</v>
      </c>
      <c r="X83" s="34">
        <f>22</f>
        <v>22</v>
      </c>
    </row>
    <row r="84" spans="1:24" x14ac:dyDescent="0.15">
      <c r="A84" s="25" t="s">
        <v>1006</v>
      </c>
      <c r="B84" s="25" t="s">
        <v>288</v>
      </c>
      <c r="C84" s="25" t="s">
        <v>289</v>
      </c>
      <c r="D84" s="25" t="s">
        <v>290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11630</f>
        <v>11630</v>
      </c>
      <c r="L84" s="32" t="s">
        <v>904</v>
      </c>
      <c r="M84" s="31">
        <f>11830</f>
        <v>11830</v>
      </c>
      <c r="N84" s="32" t="s">
        <v>812</v>
      </c>
      <c r="O84" s="31">
        <f>11180</f>
        <v>11180</v>
      </c>
      <c r="P84" s="32" t="s">
        <v>909</v>
      </c>
      <c r="Q84" s="31">
        <f>11645</f>
        <v>11645</v>
      </c>
      <c r="R84" s="32" t="s">
        <v>818</v>
      </c>
      <c r="S84" s="33">
        <f>11523.41</f>
        <v>11523.41</v>
      </c>
      <c r="T84" s="30">
        <f>5350</f>
        <v>5350</v>
      </c>
      <c r="U84" s="30" t="str">
        <f>"－"</f>
        <v>－</v>
      </c>
      <c r="V84" s="30">
        <f>61389950</f>
        <v>61389950</v>
      </c>
      <c r="W84" s="30" t="str">
        <f>"－"</f>
        <v>－</v>
      </c>
      <c r="X84" s="34">
        <f>22</f>
        <v>22</v>
      </c>
    </row>
    <row r="85" spans="1:24" x14ac:dyDescent="0.15">
      <c r="A85" s="25" t="s">
        <v>1006</v>
      </c>
      <c r="B85" s="25" t="s">
        <v>291</v>
      </c>
      <c r="C85" s="25" t="s">
        <v>292</v>
      </c>
      <c r="D85" s="25" t="s">
        <v>293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2185</f>
        <v>2185</v>
      </c>
      <c r="L85" s="32" t="s">
        <v>904</v>
      </c>
      <c r="M85" s="31">
        <f>2192</f>
        <v>2192</v>
      </c>
      <c r="N85" s="32" t="s">
        <v>909</v>
      </c>
      <c r="O85" s="31">
        <f>2090</f>
        <v>2090</v>
      </c>
      <c r="P85" s="32" t="s">
        <v>936</v>
      </c>
      <c r="Q85" s="31">
        <f>2101</f>
        <v>2101</v>
      </c>
      <c r="R85" s="32" t="s">
        <v>818</v>
      </c>
      <c r="S85" s="33">
        <f>2146.23</f>
        <v>2146.23</v>
      </c>
      <c r="T85" s="30">
        <f>312221</f>
        <v>312221</v>
      </c>
      <c r="U85" s="30">
        <f>120115</f>
        <v>120115</v>
      </c>
      <c r="V85" s="30">
        <f>672844332</f>
        <v>672844332</v>
      </c>
      <c r="W85" s="30">
        <f>261340235</f>
        <v>261340235</v>
      </c>
      <c r="X85" s="34">
        <f>22</f>
        <v>22</v>
      </c>
    </row>
    <row r="86" spans="1:24" x14ac:dyDescent="0.15">
      <c r="A86" s="25" t="s">
        <v>1006</v>
      </c>
      <c r="B86" s="25" t="s">
        <v>294</v>
      </c>
      <c r="C86" s="25" t="s">
        <v>295</v>
      </c>
      <c r="D86" s="25" t="s">
        <v>296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2078</f>
        <v>2078</v>
      </c>
      <c r="L86" s="32" t="s">
        <v>904</v>
      </c>
      <c r="M86" s="31">
        <f>2094</f>
        <v>2094</v>
      </c>
      <c r="N86" s="32" t="s">
        <v>915</v>
      </c>
      <c r="O86" s="31">
        <f>1988</f>
        <v>1988</v>
      </c>
      <c r="P86" s="32" t="s">
        <v>818</v>
      </c>
      <c r="Q86" s="31">
        <f>1993</f>
        <v>1993</v>
      </c>
      <c r="R86" s="32" t="s">
        <v>818</v>
      </c>
      <c r="S86" s="33">
        <f>2055.68</f>
        <v>2055.6799999999998</v>
      </c>
      <c r="T86" s="30">
        <f>343201</f>
        <v>343201</v>
      </c>
      <c r="U86" s="30">
        <f>120122</f>
        <v>120122</v>
      </c>
      <c r="V86" s="30">
        <f>703770291</f>
        <v>703770291</v>
      </c>
      <c r="W86" s="30">
        <f>249226736</f>
        <v>249226736</v>
      </c>
      <c r="X86" s="34">
        <f>22</f>
        <v>22</v>
      </c>
    </row>
    <row r="87" spans="1:24" x14ac:dyDescent="0.15">
      <c r="A87" s="25" t="s">
        <v>1006</v>
      </c>
      <c r="B87" s="25" t="s">
        <v>297</v>
      </c>
      <c r="C87" s="25" t="s">
        <v>298</v>
      </c>
      <c r="D87" s="25" t="s">
        <v>299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14830</f>
        <v>14830</v>
      </c>
      <c r="L87" s="32" t="s">
        <v>904</v>
      </c>
      <c r="M87" s="31">
        <f>15285</f>
        <v>15285</v>
      </c>
      <c r="N87" s="32" t="s">
        <v>819</v>
      </c>
      <c r="O87" s="31">
        <f>14630</f>
        <v>14630</v>
      </c>
      <c r="P87" s="32" t="s">
        <v>905</v>
      </c>
      <c r="Q87" s="31">
        <f>14905</f>
        <v>14905</v>
      </c>
      <c r="R87" s="32" t="s">
        <v>818</v>
      </c>
      <c r="S87" s="33">
        <f>14942.95</f>
        <v>14942.95</v>
      </c>
      <c r="T87" s="30">
        <f>39522</f>
        <v>39522</v>
      </c>
      <c r="U87" s="30">
        <f>20010</f>
        <v>20010</v>
      </c>
      <c r="V87" s="30">
        <f>590483920</f>
        <v>590483920</v>
      </c>
      <c r="W87" s="30">
        <f>300170010</f>
        <v>300170010</v>
      </c>
      <c r="X87" s="34">
        <f>22</f>
        <v>22</v>
      </c>
    </row>
    <row r="88" spans="1:24" x14ac:dyDescent="0.15">
      <c r="A88" s="25" t="s">
        <v>1006</v>
      </c>
      <c r="B88" s="25" t="s">
        <v>300</v>
      </c>
      <c r="C88" s="25" t="s">
        <v>301</v>
      </c>
      <c r="D88" s="25" t="s">
        <v>302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8931</f>
        <v>8931</v>
      </c>
      <c r="L88" s="32" t="s">
        <v>904</v>
      </c>
      <c r="M88" s="31">
        <f>9025</f>
        <v>9025</v>
      </c>
      <c r="N88" s="32" t="s">
        <v>810</v>
      </c>
      <c r="O88" s="31">
        <f>8800</f>
        <v>8800</v>
      </c>
      <c r="P88" s="32" t="s">
        <v>810</v>
      </c>
      <c r="Q88" s="31">
        <f>8901</f>
        <v>8901</v>
      </c>
      <c r="R88" s="32" t="s">
        <v>818</v>
      </c>
      <c r="S88" s="33">
        <f>8909</f>
        <v>8909</v>
      </c>
      <c r="T88" s="30">
        <f>1597</f>
        <v>1597</v>
      </c>
      <c r="U88" s="30">
        <f>5</f>
        <v>5</v>
      </c>
      <c r="V88" s="30">
        <f>14191539</f>
        <v>14191539</v>
      </c>
      <c r="W88" s="30">
        <f>44482</f>
        <v>44482</v>
      </c>
      <c r="X88" s="34">
        <f>22</f>
        <v>22</v>
      </c>
    </row>
    <row r="89" spans="1:24" x14ac:dyDescent="0.15">
      <c r="A89" s="25" t="s">
        <v>1006</v>
      </c>
      <c r="B89" s="25" t="s">
        <v>303</v>
      </c>
      <c r="C89" s="25" t="s">
        <v>304</v>
      </c>
      <c r="D89" s="25" t="s">
        <v>305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7185</f>
        <v>7185</v>
      </c>
      <c r="L89" s="32" t="s">
        <v>904</v>
      </c>
      <c r="M89" s="31">
        <f>7413</f>
        <v>7413</v>
      </c>
      <c r="N89" s="32" t="s">
        <v>905</v>
      </c>
      <c r="O89" s="31">
        <f>7073</f>
        <v>7073</v>
      </c>
      <c r="P89" s="32" t="s">
        <v>909</v>
      </c>
      <c r="Q89" s="31">
        <f>7291</f>
        <v>7291</v>
      </c>
      <c r="R89" s="32" t="s">
        <v>818</v>
      </c>
      <c r="S89" s="33">
        <f>7287.82</f>
        <v>7287.82</v>
      </c>
      <c r="T89" s="30">
        <f>1999014</f>
        <v>1999014</v>
      </c>
      <c r="U89" s="30">
        <f>301345</f>
        <v>301345</v>
      </c>
      <c r="V89" s="30">
        <f>14508767964</f>
        <v>14508767964</v>
      </c>
      <c r="W89" s="30">
        <f>2173865060</f>
        <v>2173865060</v>
      </c>
      <c r="X89" s="34">
        <f>22</f>
        <v>22</v>
      </c>
    </row>
    <row r="90" spans="1:24" x14ac:dyDescent="0.15">
      <c r="A90" s="25" t="s">
        <v>1006</v>
      </c>
      <c r="B90" s="25" t="s">
        <v>306</v>
      </c>
      <c r="C90" s="25" t="s">
        <v>307</v>
      </c>
      <c r="D90" s="25" t="s">
        <v>308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3640</f>
        <v>3640</v>
      </c>
      <c r="L90" s="32" t="s">
        <v>904</v>
      </c>
      <c r="M90" s="31">
        <f>3790</f>
        <v>3790</v>
      </c>
      <c r="N90" s="32" t="s">
        <v>915</v>
      </c>
      <c r="O90" s="31">
        <f>3550</f>
        <v>3550</v>
      </c>
      <c r="P90" s="32" t="s">
        <v>818</v>
      </c>
      <c r="Q90" s="31">
        <f>3590</f>
        <v>3590</v>
      </c>
      <c r="R90" s="32" t="s">
        <v>818</v>
      </c>
      <c r="S90" s="33">
        <f>3665.23</f>
        <v>3665.23</v>
      </c>
      <c r="T90" s="30">
        <f>536130</f>
        <v>536130</v>
      </c>
      <c r="U90" s="30" t="str">
        <f>"－"</f>
        <v>－</v>
      </c>
      <c r="V90" s="30">
        <f>1974663815</f>
        <v>1974663815</v>
      </c>
      <c r="W90" s="30" t="str">
        <f>"－"</f>
        <v>－</v>
      </c>
      <c r="X90" s="34">
        <f>22</f>
        <v>22</v>
      </c>
    </row>
    <row r="91" spans="1:24" x14ac:dyDescent="0.15">
      <c r="A91" s="25" t="s">
        <v>1006</v>
      </c>
      <c r="B91" s="25" t="s">
        <v>309</v>
      </c>
      <c r="C91" s="25" t="s">
        <v>310</v>
      </c>
      <c r="D91" s="25" t="s">
        <v>311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8130</f>
        <v>8130</v>
      </c>
      <c r="L91" s="32" t="s">
        <v>904</v>
      </c>
      <c r="M91" s="31">
        <f>8376</f>
        <v>8376</v>
      </c>
      <c r="N91" s="32" t="s">
        <v>911</v>
      </c>
      <c r="O91" s="31">
        <f>7675</f>
        <v>7675</v>
      </c>
      <c r="P91" s="32" t="s">
        <v>818</v>
      </c>
      <c r="Q91" s="31">
        <f>7715</f>
        <v>7715</v>
      </c>
      <c r="R91" s="32" t="s">
        <v>818</v>
      </c>
      <c r="S91" s="33">
        <f>7990.05</f>
        <v>7990.05</v>
      </c>
      <c r="T91" s="30">
        <f>142958</f>
        <v>142958</v>
      </c>
      <c r="U91" s="30" t="str">
        <f>"－"</f>
        <v>－</v>
      </c>
      <c r="V91" s="30">
        <f>1144549599</f>
        <v>1144549599</v>
      </c>
      <c r="W91" s="30" t="str">
        <f>"－"</f>
        <v>－</v>
      </c>
      <c r="X91" s="34">
        <f>22</f>
        <v>22</v>
      </c>
    </row>
    <row r="92" spans="1:24" x14ac:dyDescent="0.15">
      <c r="A92" s="25" t="s">
        <v>1006</v>
      </c>
      <c r="B92" s="25" t="s">
        <v>312</v>
      </c>
      <c r="C92" s="25" t="s">
        <v>313</v>
      </c>
      <c r="D92" s="25" t="s">
        <v>314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81820</f>
        <v>81820</v>
      </c>
      <c r="L92" s="32" t="s">
        <v>904</v>
      </c>
      <c r="M92" s="31">
        <f>86530</f>
        <v>86530</v>
      </c>
      <c r="N92" s="32" t="s">
        <v>911</v>
      </c>
      <c r="O92" s="31">
        <f>77800</f>
        <v>77800</v>
      </c>
      <c r="P92" s="32" t="s">
        <v>811</v>
      </c>
      <c r="Q92" s="31">
        <f>83470</f>
        <v>83470</v>
      </c>
      <c r="R92" s="32" t="s">
        <v>818</v>
      </c>
      <c r="S92" s="33">
        <f>82426.82</f>
        <v>82426.820000000007</v>
      </c>
      <c r="T92" s="30">
        <f>7772</f>
        <v>7772</v>
      </c>
      <c r="U92" s="30">
        <f>3</f>
        <v>3</v>
      </c>
      <c r="V92" s="30">
        <f>641183490</f>
        <v>641183490</v>
      </c>
      <c r="W92" s="30">
        <f>253200</f>
        <v>253200</v>
      </c>
      <c r="X92" s="34">
        <f>22</f>
        <v>22</v>
      </c>
    </row>
    <row r="93" spans="1:24" x14ac:dyDescent="0.15">
      <c r="A93" s="25" t="s">
        <v>1006</v>
      </c>
      <c r="B93" s="25" t="s">
        <v>315</v>
      </c>
      <c r="C93" s="25" t="s">
        <v>940</v>
      </c>
      <c r="D93" s="25" t="s">
        <v>941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17470</f>
        <v>17470</v>
      </c>
      <c r="L93" s="32" t="s">
        <v>904</v>
      </c>
      <c r="M93" s="31">
        <f>18605</f>
        <v>18605</v>
      </c>
      <c r="N93" s="32" t="s">
        <v>816</v>
      </c>
      <c r="O93" s="31">
        <f>17055</f>
        <v>17055</v>
      </c>
      <c r="P93" s="32" t="s">
        <v>909</v>
      </c>
      <c r="Q93" s="31">
        <f>17445</f>
        <v>17445</v>
      </c>
      <c r="R93" s="32" t="s">
        <v>818</v>
      </c>
      <c r="S93" s="33">
        <f>17927.95</f>
        <v>17927.95</v>
      </c>
      <c r="T93" s="30">
        <f>2087942</f>
        <v>2087942</v>
      </c>
      <c r="U93" s="30">
        <f>263432</f>
        <v>263432</v>
      </c>
      <c r="V93" s="30">
        <f>37439531767</f>
        <v>37439531767</v>
      </c>
      <c r="W93" s="30">
        <f>4785830207</f>
        <v>4785830207</v>
      </c>
      <c r="X93" s="34">
        <f>22</f>
        <v>22</v>
      </c>
    </row>
    <row r="94" spans="1:24" x14ac:dyDescent="0.15">
      <c r="A94" s="25" t="s">
        <v>1006</v>
      </c>
      <c r="B94" s="25" t="s">
        <v>318</v>
      </c>
      <c r="C94" s="25" t="s">
        <v>942</v>
      </c>
      <c r="D94" s="25" t="s">
        <v>943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43030</f>
        <v>43030</v>
      </c>
      <c r="L94" s="32" t="s">
        <v>904</v>
      </c>
      <c r="M94" s="31">
        <f>44910</f>
        <v>44910</v>
      </c>
      <c r="N94" s="32" t="s">
        <v>816</v>
      </c>
      <c r="O94" s="31">
        <f>42010</f>
        <v>42010</v>
      </c>
      <c r="P94" s="32" t="s">
        <v>909</v>
      </c>
      <c r="Q94" s="31">
        <f>42970</f>
        <v>42970</v>
      </c>
      <c r="R94" s="32" t="s">
        <v>818</v>
      </c>
      <c r="S94" s="33">
        <f>43503.64</f>
        <v>43503.64</v>
      </c>
      <c r="T94" s="30">
        <f>194623</f>
        <v>194623</v>
      </c>
      <c r="U94" s="30">
        <f>72230</f>
        <v>72230</v>
      </c>
      <c r="V94" s="30">
        <f>8448281583</f>
        <v>8448281583</v>
      </c>
      <c r="W94" s="30">
        <f>3127370553</f>
        <v>3127370553</v>
      </c>
      <c r="X94" s="34">
        <f>22</f>
        <v>22</v>
      </c>
    </row>
    <row r="95" spans="1:24" x14ac:dyDescent="0.15">
      <c r="A95" s="25" t="s">
        <v>1006</v>
      </c>
      <c r="B95" s="25" t="s">
        <v>321</v>
      </c>
      <c r="C95" s="25" t="s">
        <v>322</v>
      </c>
      <c r="D95" s="25" t="s">
        <v>323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5985</f>
        <v>5985</v>
      </c>
      <c r="L95" s="32" t="s">
        <v>904</v>
      </c>
      <c r="M95" s="31">
        <f>6365</f>
        <v>6365</v>
      </c>
      <c r="N95" s="32" t="s">
        <v>816</v>
      </c>
      <c r="O95" s="31">
        <f>5830</f>
        <v>5830</v>
      </c>
      <c r="P95" s="32" t="s">
        <v>909</v>
      </c>
      <c r="Q95" s="31">
        <f>6061</f>
        <v>6061</v>
      </c>
      <c r="R95" s="32" t="s">
        <v>818</v>
      </c>
      <c r="S95" s="33">
        <f>6137.5</f>
        <v>6137.5</v>
      </c>
      <c r="T95" s="30">
        <f>2170710</f>
        <v>2170710</v>
      </c>
      <c r="U95" s="30">
        <f>616740</f>
        <v>616740</v>
      </c>
      <c r="V95" s="30">
        <f>13298919356</f>
        <v>13298919356</v>
      </c>
      <c r="W95" s="30">
        <f>3769926536</f>
        <v>3769926536</v>
      </c>
      <c r="X95" s="34">
        <f>22</f>
        <v>22</v>
      </c>
    </row>
    <row r="96" spans="1:24" x14ac:dyDescent="0.15">
      <c r="A96" s="25" t="s">
        <v>1006</v>
      </c>
      <c r="B96" s="25" t="s">
        <v>324</v>
      </c>
      <c r="C96" s="25" t="s">
        <v>325</v>
      </c>
      <c r="D96" s="25" t="s">
        <v>326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3770</f>
        <v>3770</v>
      </c>
      <c r="L96" s="32" t="s">
        <v>904</v>
      </c>
      <c r="M96" s="31">
        <f>3965</f>
        <v>3965</v>
      </c>
      <c r="N96" s="32" t="s">
        <v>816</v>
      </c>
      <c r="O96" s="31">
        <f>3680</f>
        <v>3680</v>
      </c>
      <c r="P96" s="32" t="s">
        <v>909</v>
      </c>
      <c r="Q96" s="31">
        <f>3810</f>
        <v>3810</v>
      </c>
      <c r="R96" s="32" t="s">
        <v>818</v>
      </c>
      <c r="S96" s="33">
        <f>3847.86</f>
        <v>3847.86</v>
      </c>
      <c r="T96" s="30">
        <f>102350</f>
        <v>102350</v>
      </c>
      <c r="U96" s="30" t="str">
        <f>"－"</f>
        <v>－</v>
      </c>
      <c r="V96" s="30">
        <f>393767620</f>
        <v>393767620</v>
      </c>
      <c r="W96" s="30" t="str">
        <f>"－"</f>
        <v>－</v>
      </c>
      <c r="X96" s="34">
        <f>22</f>
        <v>22</v>
      </c>
    </row>
    <row r="97" spans="1:24" x14ac:dyDescent="0.15">
      <c r="A97" s="25" t="s">
        <v>1006</v>
      </c>
      <c r="B97" s="25" t="s">
        <v>327</v>
      </c>
      <c r="C97" s="25" t="s">
        <v>328</v>
      </c>
      <c r="D97" s="25" t="s">
        <v>329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4332</f>
        <v>4332</v>
      </c>
      <c r="L97" s="32" t="s">
        <v>904</v>
      </c>
      <c r="M97" s="31">
        <f>4550</f>
        <v>4550</v>
      </c>
      <c r="N97" s="32" t="s">
        <v>819</v>
      </c>
      <c r="O97" s="31">
        <f>4301</f>
        <v>4301</v>
      </c>
      <c r="P97" s="32" t="s">
        <v>904</v>
      </c>
      <c r="Q97" s="31">
        <f>4476</f>
        <v>4476</v>
      </c>
      <c r="R97" s="32" t="s">
        <v>818</v>
      </c>
      <c r="S97" s="33">
        <f>4454.05</f>
        <v>4454.05</v>
      </c>
      <c r="T97" s="30">
        <f>8640</f>
        <v>8640</v>
      </c>
      <c r="U97" s="30" t="str">
        <f>"－"</f>
        <v>－</v>
      </c>
      <c r="V97" s="30">
        <f>38422370</f>
        <v>38422370</v>
      </c>
      <c r="W97" s="30" t="str">
        <f>"－"</f>
        <v>－</v>
      </c>
      <c r="X97" s="34">
        <f>22</f>
        <v>22</v>
      </c>
    </row>
    <row r="98" spans="1:24" x14ac:dyDescent="0.15">
      <c r="A98" s="25" t="s">
        <v>1006</v>
      </c>
      <c r="B98" s="25" t="s">
        <v>330</v>
      </c>
      <c r="C98" s="25" t="s">
        <v>331</v>
      </c>
      <c r="D98" s="25" t="s">
        <v>332</v>
      </c>
      <c r="E98" s="26" t="s">
        <v>45</v>
      </c>
      <c r="F98" s="27" t="s">
        <v>45</v>
      </c>
      <c r="G98" s="28" t="s">
        <v>45</v>
      </c>
      <c r="H98" s="29" t="s">
        <v>333</v>
      </c>
      <c r="I98" s="29" t="s">
        <v>46</v>
      </c>
      <c r="J98" s="30">
        <v>1</v>
      </c>
      <c r="K98" s="31">
        <f>1928</f>
        <v>1928</v>
      </c>
      <c r="L98" s="32" t="s">
        <v>904</v>
      </c>
      <c r="M98" s="31">
        <f>2068</f>
        <v>2068</v>
      </c>
      <c r="N98" s="32" t="s">
        <v>936</v>
      </c>
      <c r="O98" s="31">
        <f>1734</f>
        <v>1734</v>
      </c>
      <c r="P98" s="32" t="s">
        <v>906</v>
      </c>
      <c r="Q98" s="31">
        <f>1986</f>
        <v>1986</v>
      </c>
      <c r="R98" s="32" t="s">
        <v>818</v>
      </c>
      <c r="S98" s="33">
        <f>1885.73</f>
        <v>1885.73</v>
      </c>
      <c r="T98" s="30">
        <f>37293348</f>
        <v>37293348</v>
      </c>
      <c r="U98" s="30">
        <f>101558</f>
        <v>101558</v>
      </c>
      <c r="V98" s="30">
        <f>71188516304</f>
        <v>71188516304</v>
      </c>
      <c r="W98" s="30">
        <f>200264647</f>
        <v>200264647</v>
      </c>
      <c r="X98" s="34">
        <f>22</f>
        <v>22</v>
      </c>
    </row>
    <row r="99" spans="1:24" x14ac:dyDescent="0.15">
      <c r="A99" s="25" t="s">
        <v>1006</v>
      </c>
      <c r="B99" s="25" t="s">
        <v>334</v>
      </c>
      <c r="C99" s="25" t="s">
        <v>335</v>
      </c>
      <c r="D99" s="25" t="s">
        <v>336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3195</f>
        <v>3195</v>
      </c>
      <c r="L99" s="32" t="s">
        <v>904</v>
      </c>
      <c r="M99" s="31">
        <f>3360</f>
        <v>3360</v>
      </c>
      <c r="N99" s="32" t="s">
        <v>816</v>
      </c>
      <c r="O99" s="31">
        <f>3109</f>
        <v>3109</v>
      </c>
      <c r="P99" s="32" t="s">
        <v>909</v>
      </c>
      <c r="Q99" s="31">
        <f>3238</f>
        <v>3238</v>
      </c>
      <c r="R99" s="32" t="s">
        <v>818</v>
      </c>
      <c r="S99" s="33">
        <f>3260.59</f>
        <v>3260.59</v>
      </c>
      <c r="T99" s="30">
        <f>92160</f>
        <v>92160</v>
      </c>
      <c r="U99" s="30" t="str">
        <f>"－"</f>
        <v>－</v>
      </c>
      <c r="V99" s="30">
        <f>300541920</f>
        <v>300541920</v>
      </c>
      <c r="W99" s="30" t="str">
        <f>"－"</f>
        <v>－</v>
      </c>
      <c r="X99" s="34">
        <f>22</f>
        <v>22</v>
      </c>
    </row>
    <row r="100" spans="1:24" x14ac:dyDescent="0.15">
      <c r="A100" s="25" t="s">
        <v>1006</v>
      </c>
      <c r="B100" s="25" t="s">
        <v>337</v>
      </c>
      <c r="C100" s="25" t="s">
        <v>338</v>
      </c>
      <c r="D100" s="25" t="s">
        <v>339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1820</f>
        <v>1820</v>
      </c>
      <c r="L100" s="32" t="s">
        <v>904</v>
      </c>
      <c r="M100" s="31">
        <f>1832</f>
        <v>1832</v>
      </c>
      <c r="N100" s="32" t="s">
        <v>915</v>
      </c>
      <c r="O100" s="31">
        <f>1731.5</f>
        <v>1731.5</v>
      </c>
      <c r="P100" s="32" t="s">
        <v>820</v>
      </c>
      <c r="Q100" s="31">
        <f>1779</f>
        <v>1779</v>
      </c>
      <c r="R100" s="32" t="s">
        <v>818</v>
      </c>
      <c r="S100" s="33">
        <f>1782.75</f>
        <v>1782.75</v>
      </c>
      <c r="T100" s="30">
        <f>131990</f>
        <v>131990</v>
      </c>
      <c r="U100" s="30">
        <f>20</f>
        <v>20</v>
      </c>
      <c r="V100" s="30">
        <f>235244570</f>
        <v>235244570</v>
      </c>
      <c r="W100" s="30">
        <f>36040</f>
        <v>36040</v>
      </c>
      <c r="X100" s="34">
        <f>22</f>
        <v>22</v>
      </c>
    </row>
    <row r="101" spans="1:24" x14ac:dyDescent="0.15">
      <c r="A101" s="25" t="s">
        <v>1006</v>
      </c>
      <c r="B101" s="25" t="s">
        <v>340</v>
      </c>
      <c r="C101" s="25" t="s">
        <v>341</v>
      </c>
      <c r="D101" s="25" t="s">
        <v>342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54730</f>
        <v>54730</v>
      </c>
      <c r="L101" s="32" t="s">
        <v>904</v>
      </c>
      <c r="M101" s="31">
        <f>58250</f>
        <v>58250</v>
      </c>
      <c r="N101" s="32" t="s">
        <v>816</v>
      </c>
      <c r="O101" s="31">
        <f>53350</f>
        <v>53350</v>
      </c>
      <c r="P101" s="32" t="s">
        <v>909</v>
      </c>
      <c r="Q101" s="31">
        <f>55500</f>
        <v>55500</v>
      </c>
      <c r="R101" s="32" t="s">
        <v>818</v>
      </c>
      <c r="S101" s="33">
        <f>56162.27</f>
        <v>56162.27</v>
      </c>
      <c r="T101" s="30">
        <f>101603</f>
        <v>101603</v>
      </c>
      <c r="U101" s="30" t="str">
        <f>"－"</f>
        <v>－</v>
      </c>
      <c r="V101" s="30">
        <f>5696654040</f>
        <v>5696654040</v>
      </c>
      <c r="W101" s="30" t="str">
        <f>"－"</f>
        <v>－</v>
      </c>
      <c r="X101" s="34">
        <f>22</f>
        <v>22</v>
      </c>
    </row>
    <row r="102" spans="1:24" x14ac:dyDescent="0.15">
      <c r="A102" s="25" t="s">
        <v>1006</v>
      </c>
      <c r="B102" s="25" t="s">
        <v>343</v>
      </c>
      <c r="C102" s="25" t="s">
        <v>344</v>
      </c>
      <c r="D102" s="25" t="s">
        <v>345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3290</f>
        <v>3290</v>
      </c>
      <c r="L102" s="32" t="s">
        <v>904</v>
      </c>
      <c r="M102" s="31">
        <f>3330</f>
        <v>3330</v>
      </c>
      <c r="N102" s="32" t="s">
        <v>904</v>
      </c>
      <c r="O102" s="31">
        <f>3225</f>
        <v>3225</v>
      </c>
      <c r="P102" s="32" t="s">
        <v>909</v>
      </c>
      <c r="Q102" s="31">
        <f>3310</f>
        <v>3310</v>
      </c>
      <c r="R102" s="32" t="s">
        <v>818</v>
      </c>
      <c r="S102" s="33">
        <f>3301.36</f>
        <v>3301.36</v>
      </c>
      <c r="T102" s="30">
        <f>9935</f>
        <v>9935</v>
      </c>
      <c r="U102" s="30" t="str">
        <f>"－"</f>
        <v>－</v>
      </c>
      <c r="V102" s="30">
        <f>32684685</f>
        <v>32684685</v>
      </c>
      <c r="W102" s="30" t="str">
        <f>"－"</f>
        <v>－</v>
      </c>
      <c r="X102" s="34">
        <f>22</f>
        <v>22</v>
      </c>
    </row>
    <row r="103" spans="1:24" x14ac:dyDescent="0.15">
      <c r="A103" s="25" t="s">
        <v>1006</v>
      </c>
      <c r="B103" s="25" t="s">
        <v>346</v>
      </c>
      <c r="C103" s="25" t="s">
        <v>347</v>
      </c>
      <c r="D103" s="25" t="s">
        <v>348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4480</f>
        <v>4480</v>
      </c>
      <c r="L103" s="32" t="s">
        <v>904</v>
      </c>
      <c r="M103" s="31">
        <f>4510</f>
        <v>4510</v>
      </c>
      <c r="N103" s="32" t="s">
        <v>810</v>
      </c>
      <c r="O103" s="31">
        <f>4250</f>
        <v>4250</v>
      </c>
      <c r="P103" s="32" t="s">
        <v>813</v>
      </c>
      <c r="Q103" s="31">
        <f>4340</f>
        <v>4340</v>
      </c>
      <c r="R103" s="32" t="s">
        <v>818</v>
      </c>
      <c r="S103" s="33">
        <f>4370</f>
        <v>4370</v>
      </c>
      <c r="T103" s="30">
        <f>4481</f>
        <v>4481</v>
      </c>
      <c r="U103" s="30" t="str">
        <f>"－"</f>
        <v>－</v>
      </c>
      <c r="V103" s="30">
        <f>19618955</f>
        <v>19618955</v>
      </c>
      <c r="W103" s="30" t="str">
        <f>"－"</f>
        <v>－</v>
      </c>
      <c r="X103" s="34">
        <f>22</f>
        <v>22</v>
      </c>
    </row>
    <row r="104" spans="1:24" x14ac:dyDescent="0.15">
      <c r="A104" s="25" t="s">
        <v>1006</v>
      </c>
      <c r="B104" s="25" t="s">
        <v>349</v>
      </c>
      <c r="C104" s="25" t="s">
        <v>350</v>
      </c>
      <c r="D104" s="25" t="s">
        <v>351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2449</f>
        <v>2449</v>
      </c>
      <c r="L104" s="32" t="s">
        <v>904</v>
      </c>
      <c r="M104" s="31">
        <f>2760</f>
        <v>2760</v>
      </c>
      <c r="N104" s="32" t="s">
        <v>819</v>
      </c>
      <c r="O104" s="31">
        <f>2407</f>
        <v>2407</v>
      </c>
      <c r="P104" s="32" t="s">
        <v>936</v>
      </c>
      <c r="Q104" s="31">
        <f>2480</f>
        <v>2480</v>
      </c>
      <c r="R104" s="32" t="s">
        <v>818</v>
      </c>
      <c r="S104" s="33">
        <f>2581.95</f>
        <v>2581.9499999999998</v>
      </c>
      <c r="T104" s="30">
        <f>1442559</f>
        <v>1442559</v>
      </c>
      <c r="U104" s="30" t="str">
        <f>"－"</f>
        <v>－</v>
      </c>
      <c r="V104" s="30">
        <f>3746209310</f>
        <v>3746209310</v>
      </c>
      <c r="W104" s="30" t="str">
        <f>"－"</f>
        <v>－</v>
      </c>
      <c r="X104" s="34">
        <f>22</f>
        <v>22</v>
      </c>
    </row>
    <row r="105" spans="1:24" x14ac:dyDescent="0.15">
      <c r="A105" s="25" t="s">
        <v>1006</v>
      </c>
      <c r="B105" s="25" t="s">
        <v>352</v>
      </c>
      <c r="C105" s="25" t="s">
        <v>353</v>
      </c>
      <c r="D105" s="25" t="s">
        <v>354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42750</f>
        <v>42750</v>
      </c>
      <c r="L105" s="32" t="s">
        <v>904</v>
      </c>
      <c r="M105" s="31">
        <f>44180</f>
        <v>44180</v>
      </c>
      <c r="N105" s="32" t="s">
        <v>934</v>
      </c>
      <c r="O105" s="31">
        <f>42130</f>
        <v>42130</v>
      </c>
      <c r="P105" s="32" t="s">
        <v>909</v>
      </c>
      <c r="Q105" s="31">
        <f>43960</f>
        <v>43960</v>
      </c>
      <c r="R105" s="32" t="s">
        <v>818</v>
      </c>
      <c r="S105" s="33">
        <f>43483.64</f>
        <v>43483.64</v>
      </c>
      <c r="T105" s="30">
        <f>13986</f>
        <v>13986</v>
      </c>
      <c r="U105" s="30">
        <f>2702</f>
        <v>2702</v>
      </c>
      <c r="V105" s="30">
        <f>606559820</f>
        <v>606559820</v>
      </c>
      <c r="W105" s="30">
        <f>116010510</f>
        <v>116010510</v>
      </c>
      <c r="X105" s="34">
        <f>22</f>
        <v>22</v>
      </c>
    </row>
    <row r="106" spans="1:24" x14ac:dyDescent="0.15">
      <c r="A106" s="25" t="s">
        <v>1006</v>
      </c>
      <c r="B106" s="25" t="s">
        <v>355</v>
      </c>
      <c r="C106" s="25" t="s">
        <v>356</v>
      </c>
      <c r="D106" s="25" t="s">
        <v>357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23880</f>
        <v>23880</v>
      </c>
      <c r="L106" s="32" t="s">
        <v>904</v>
      </c>
      <c r="M106" s="31">
        <f>25495</f>
        <v>25495</v>
      </c>
      <c r="N106" s="32" t="s">
        <v>819</v>
      </c>
      <c r="O106" s="31">
        <f>23425</f>
        <v>23425</v>
      </c>
      <c r="P106" s="32" t="s">
        <v>909</v>
      </c>
      <c r="Q106" s="31">
        <f>24340</f>
        <v>24340</v>
      </c>
      <c r="R106" s="32" t="s">
        <v>818</v>
      </c>
      <c r="S106" s="33">
        <f>24419.55</f>
        <v>24419.55</v>
      </c>
      <c r="T106" s="30">
        <f>2432360</f>
        <v>2432360</v>
      </c>
      <c r="U106" s="30">
        <f>480</f>
        <v>480</v>
      </c>
      <c r="V106" s="30">
        <f>59696612650</f>
        <v>59696612650</v>
      </c>
      <c r="W106" s="30">
        <f>11589600</f>
        <v>11589600</v>
      </c>
      <c r="X106" s="34">
        <f>22</f>
        <v>22</v>
      </c>
    </row>
    <row r="107" spans="1:24" x14ac:dyDescent="0.15">
      <c r="A107" s="25" t="s">
        <v>1006</v>
      </c>
      <c r="B107" s="25" t="s">
        <v>358</v>
      </c>
      <c r="C107" s="25" t="s">
        <v>359</v>
      </c>
      <c r="D107" s="25" t="s">
        <v>360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2076</f>
        <v>2076</v>
      </c>
      <c r="L107" s="32" t="s">
        <v>904</v>
      </c>
      <c r="M107" s="31">
        <f>2093.5</f>
        <v>2093.5</v>
      </c>
      <c r="N107" s="32" t="s">
        <v>909</v>
      </c>
      <c r="O107" s="31">
        <f>2004.5</f>
        <v>2004.5</v>
      </c>
      <c r="P107" s="32" t="s">
        <v>819</v>
      </c>
      <c r="Q107" s="31">
        <f>2048</f>
        <v>2048</v>
      </c>
      <c r="R107" s="32" t="s">
        <v>818</v>
      </c>
      <c r="S107" s="33">
        <f>2048.64</f>
        <v>2048.64</v>
      </c>
      <c r="T107" s="30">
        <f>386800</f>
        <v>386800</v>
      </c>
      <c r="U107" s="30">
        <f>5290</f>
        <v>5290</v>
      </c>
      <c r="V107" s="30">
        <f>792894080</f>
        <v>792894080</v>
      </c>
      <c r="W107" s="30">
        <f>10826890</f>
        <v>10826890</v>
      </c>
      <c r="X107" s="34">
        <f>22</f>
        <v>22</v>
      </c>
    </row>
    <row r="108" spans="1:24" x14ac:dyDescent="0.15">
      <c r="A108" s="25" t="s">
        <v>1006</v>
      </c>
      <c r="B108" s="25" t="s">
        <v>361</v>
      </c>
      <c r="C108" s="25" t="s">
        <v>362</v>
      </c>
      <c r="D108" s="25" t="s">
        <v>363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14475</f>
        <v>14475</v>
      </c>
      <c r="L108" s="32" t="s">
        <v>904</v>
      </c>
      <c r="M108" s="31">
        <f>15935</f>
        <v>15935</v>
      </c>
      <c r="N108" s="32" t="s">
        <v>819</v>
      </c>
      <c r="O108" s="31">
        <f>14165</f>
        <v>14165</v>
      </c>
      <c r="P108" s="32" t="s">
        <v>909</v>
      </c>
      <c r="Q108" s="31">
        <f>14715</f>
        <v>14715</v>
      </c>
      <c r="R108" s="32" t="s">
        <v>818</v>
      </c>
      <c r="S108" s="33">
        <f>15006.36</f>
        <v>15006.36</v>
      </c>
      <c r="T108" s="30">
        <f>160594782</f>
        <v>160594782</v>
      </c>
      <c r="U108" s="30">
        <f>828244</f>
        <v>828244</v>
      </c>
      <c r="V108" s="30">
        <f>2402170913963</f>
        <v>2402170913963</v>
      </c>
      <c r="W108" s="30">
        <f>12389835018</f>
        <v>12389835018</v>
      </c>
      <c r="X108" s="34">
        <f>22</f>
        <v>22</v>
      </c>
    </row>
    <row r="109" spans="1:24" x14ac:dyDescent="0.15">
      <c r="A109" s="25" t="s">
        <v>1006</v>
      </c>
      <c r="B109" s="25" t="s">
        <v>364</v>
      </c>
      <c r="C109" s="25" t="s">
        <v>365</v>
      </c>
      <c r="D109" s="25" t="s">
        <v>366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973</f>
        <v>973</v>
      </c>
      <c r="L109" s="32" t="s">
        <v>904</v>
      </c>
      <c r="M109" s="31">
        <f>982</f>
        <v>982</v>
      </c>
      <c r="N109" s="32" t="s">
        <v>909</v>
      </c>
      <c r="O109" s="31">
        <f>923</f>
        <v>923</v>
      </c>
      <c r="P109" s="32" t="s">
        <v>819</v>
      </c>
      <c r="Q109" s="31">
        <f>959</f>
        <v>959</v>
      </c>
      <c r="R109" s="32" t="s">
        <v>818</v>
      </c>
      <c r="S109" s="33">
        <f>952.73</f>
        <v>952.73</v>
      </c>
      <c r="T109" s="30">
        <f>41614516</f>
        <v>41614516</v>
      </c>
      <c r="U109" s="30">
        <f>1363646</f>
        <v>1363646</v>
      </c>
      <c r="V109" s="30">
        <f>39668954464</f>
        <v>39668954464</v>
      </c>
      <c r="W109" s="30">
        <f>1298992345</f>
        <v>1298992345</v>
      </c>
      <c r="X109" s="34">
        <f>22</f>
        <v>22</v>
      </c>
    </row>
    <row r="110" spans="1:24" x14ac:dyDescent="0.15">
      <c r="A110" s="25" t="s">
        <v>1006</v>
      </c>
      <c r="B110" s="25" t="s">
        <v>367</v>
      </c>
      <c r="C110" s="25" t="s">
        <v>368</v>
      </c>
      <c r="D110" s="25" t="s">
        <v>369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5306</f>
        <v>5306</v>
      </c>
      <c r="L110" s="32" t="s">
        <v>904</v>
      </c>
      <c r="M110" s="31">
        <f>5587</f>
        <v>5587</v>
      </c>
      <c r="N110" s="32" t="s">
        <v>818</v>
      </c>
      <c r="O110" s="31">
        <f>4942</f>
        <v>4942</v>
      </c>
      <c r="P110" s="32" t="s">
        <v>909</v>
      </c>
      <c r="Q110" s="31">
        <f>5541</f>
        <v>5541</v>
      </c>
      <c r="R110" s="32" t="s">
        <v>818</v>
      </c>
      <c r="S110" s="33">
        <f>5296.5</f>
        <v>5296.5</v>
      </c>
      <c r="T110" s="30">
        <f>159130</f>
        <v>159130</v>
      </c>
      <c r="U110" s="30" t="str">
        <f>"－"</f>
        <v>－</v>
      </c>
      <c r="V110" s="30">
        <f>839521380</f>
        <v>839521380</v>
      </c>
      <c r="W110" s="30" t="str">
        <f>"－"</f>
        <v>－</v>
      </c>
      <c r="X110" s="34">
        <f>22</f>
        <v>22</v>
      </c>
    </row>
    <row r="111" spans="1:24" x14ac:dyDescent="0.15">
      <c r="A111" s="25" t="s">
        <v>1006</v>
      </c>
      <c r="B111" s="25" t="s">
        <v>370</v>
      </c>
      <c r="C111" s="25" t="s">
        <v>371</v>
      </c>
      <c r="D111" s="25" t="s">
        <v>372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10700</f>
        <v>10700</v>
      </c>
      <c r="L111" s="32" t="s">
        <v>904</v>
      </c>
      <c r="M111" s="31">
        <f>11475</f>
        <v>11475</v>
      </c>
      <c r="N111" s="32" t="s">
        <v>820</v>
      </c>
      <c r="O111" s="31">
        <f>10345</f>
        <v>10345</v>
      </c>
      <c r="P111" s="32" t="s">
        <v>909</v>
      </c>
      <c r="Q111" s="31">
        <f>10950</f>
        <v>10950</v>
      </c>
      <c r="R111" s="32" t="s">
        <v>818</v>
      </c>
      <c r="S111" s="33">
        <f>10918.41</f>
        <v>10918.41</v>
      </c>
      <c r="T111" s="30">
        <f>10570</f>
        <v>10570</v>
      </c>
      <c r="U111" s="30" t="str">
        <f>"－"</f>
        <v>－</v>
      </c>
      <c r="V111" s="30">
        <f>115914400</f>
        <v>115914400</v>
      </c>
      <c r="W111" s="30" t="str">
        <f>"－"</f>
        <v>－</v>
      </c>
      <c r="X111" s="34">
        <f>22</f>
        <v>22</v>
      </c>
    </row>
    <row r="112" spans="1:24" x14ac:dyDescent="0.15">
      <c r="A112" s="25" t="s">
        <v>1006</v>
      </c>
      <c r="B112" s="25" t="s">
        <v>373</v>
      </c>
      <c r="C112" s="25" t="s">
        <v>374</v>
      </c>
      <c r="D112" s="25" t="s">
        <v>375</v>
      </c>
      <c r="E112" s="26" t="s">
        <v>45</v>
      </c>
      <c r="F112" s="27" t="s">
        <v>45</v>
      </c>
      <c r="G112" s="28" t="s">
        <v>45</v>
      </c>
      <c r="H112" s="29" t="s">
        <v>333</v>
      </c>
      <c r="I112" s="29" t="s">
        <v>46</v>
      </c>
      <c r="J112" s="30">
        <v>10</v>
      </c>
      <c r="K112" s="31">
        <f>787</f>
        <v>787</v>
      </c>
      <c r="L112" s="32" t="s">
        <v>904</v>
      </c>
      <c r="M112" s="31">
        <f>811</f>
        <v>811</v>
      </c>
      <c r="N112" s="32" t="s">
        <v>904</v>
      </c>
      <c r="O112" s="31">
        <f>762</f>
        <v>762</v>
      </c>
      <c r="P112" s="32" t="s">
        <v>909</v>
      </c>
      <c r="Q112" s="31">
        <f>796</f>
        <v>796</v>
      </c>
      <c r="R112" s="32" t="s">
        <v>818</v>
      </c>
      <c r="S112" s="33">
        <f>787.42</f>
        <v>787.42</v>
      </c>
      <c r="T112" s="30">
        <f>15990</f>
        <v>15990</v>
      </c>
      <c r="U112" s="30" t="str">
        <f>"－"</f>
        <v>－</v>
      </c>
      <c r="V112" s="30">
        <f>12629570</f>
        <v>12629570</v>
      </c>
      <c r="W112" s="30" t="str">
        <f>"－"</f>
        <v>－</v>
      </c>
      <c r="X112" s="34">
        <f>21</f>
        <v>21</v>
      </c>
    </row>
    <row r="113" spans="1:24" x14ac:dyDescent="0.15">
      <c r="A113" s="25" t="s">
        <v>1006</v>
      </c>
      <c r="B113" s="25" t="s">
        <v>376</v>
      </c>
      <c r="C113" s="25" t="s">
        <v>377</v>
      </c>
      <c r="D113" s="25" t="s">
        <v>378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24370</f>
        <v>24370</v>
      </c>
      <c r="L113" s="32" t="s">
        <v>904</v>
      </c>
      <c r="M113" s="31">
        <f>24980</f>
        <v>24980</v>
      </c>
      <c r="N113" s="32" t="s">
        <v>934</v>
      </c>
      <c r="O113" s="31">
        <f>23725</f>
        <v>23725</v>
      </c>
      <c r="P113" s="32" t="s">
        <v>810</v>
      </c>
      <c r="Q113" s="31">
        <f>24850</f>
        <v>24850</v>
      </c>
      <c r="R113" s="32" t="s">
        <v>818</v>
      </c>
      <c r="S113" s="33">
        <f>24472.73</f>
        <v>24472.73</v>
      </c>
      <c r="T113" s="30">
        <f>59739</f>
        <v>59739</v>
      </c>
      <c r="U113" s="30">
        <f>23809</f>
        <v>23809</v>
      </c>
      <c r="V113" s="30">
        <f>1457292905</f>
        <v>1457292905</v>
      </c>
      <c r="W113" s="30">
        <f>580923500</f>
        <v>580923500</v>
      </c>
      <c r="X113" s="34">
        <f>22</f>
        <v>22</v>
      </c>
    </row>
    <row r="114" spans="1:24" x14ac:dyDescent="0.15">
      <c r="A114" s="25" t="s">
        <v>1006</v>
      </c>
      <c r="B114" s="25" t="s">
        <v>379</v>
      </c>
      <c r="C114" s="25" t="s">
        <v>380</v>
      </c>
      <c r="D114" s="25" t="s">
        <v>381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2218</f>
        <v>2218</v>
      </c>
      <c r="L114" s="32" t="s">
        <v>904</v>
      </c>
      <c r="M114" s="31">
        <f>2329</f>
        <v>2329</v>
      </c>
      <c r="N114" s="32" t="s">
        <v>819</v>
      </c>
      <c r="O114" s="31">
        <f>2195</f>
        <v>2195</v>
      </c>
      <c r="P114" s="32" t="s">
        <v>909</v>
      </c>
      <c r="Q114" s="31">
        <f>2239</f>
        <v>2239</v>
      </c>
      <c r="R114" s="32" t="s">
        <v>818</v>
      </c>
      <c r="S114" s="33">
        <f>2258.27</f>
        <v>2258.27</v>
      </c>
      <c r="T114" s="30">
        <f>60154</f>
        <v>60154</v>
      </c>
      <c r="U114" s="30" t="str">
        <f>"－"</f>
        <v>－</v>
      </c>
      <c r="V114" s="30">
        <f>136202251</f>
        <v>136202251</v>
      </c>
      <c r="W114" s="30" t="str">
        <f>"－"</f>
        <v>－</v>
      </c>
      <c r="X114" s="34">
        <f>22</f>
        <v>22</v>
      </c>
    </row>
    <row r="115" spans="1:24" x14ac:dyDescent="0.15">
      <c r="A115" s="25" t="s">
        <v>1006</v>
      </c>
      <c r="B115" s="25" t="s">
        <v>382</v>
      </c>
      <c r="C115" s="25" t="s">
        <v>383</v>
      </c>
      <c r="D115" s="25" t="s">
        <v>384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15465</f>
        <v>15465</v>
      </c>
      <c r="L115" s="32" t="s">
        <v>904</v>
      </c>
      <c r="M115" s="31">
        <f>17055</f>
        <v>17055</v>
      </c>
      <c r="N115" s="32" t="s">
        <v>819</v>
      </c>
      <c r="O115" s="31">
        <f>15160</f>
        <v>15160</v>
      </c>
      <c r="P115" s="32" t="s">
        <v>909</v>
      </c>
      <c r="Q115" s="31">
        <f>15750</f>
        <v>15750</v>
      </c>
      <c r="R115" s="32" t="s">
        <v>818</v>
      </c>
      <c r="S115" s="33">
        <f>16057.27</f>
        <v>16057.27</v>
      </c>
      <c r="T115" s="30">
        <f>16846080</f>
        <v>16846080</v>
      </c>
      <c r="U115" s="30">
        <f>150</f>
        <v>150</v>
      </c>
      <c r="V115" s="30">
        <f>269568160950</f>
        <v>269568160950</v>
      </c>
      <c r="W115" s="30">
        <f>2331200</f>
        <v>2331200</v>
      </c>
      <c r="X115" s="34">
        <f>22</f>
        <v>22</v>
      </c>
    </row>
    <row r="116" spans="1:24" x14ac:dyDescent="0.15">
      <c r="A116" s="25" t="s">
        <v>1006</v>
      </c>
      <c r="B116" s="25" t="s">
        <v>385</v>
      </c>
      <c r="C116" s="25" t="s">
        <v>386</v>
      </c>
      <c r="D116" s="25" t="s">
        <v>387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2583</f>
        <v>2583</v>
      </c>
      <c r="L116" s="32" t="s">
        <v>904</v>
      </c>
      <c r="M116" s="31">
        <f>2607</f>
        <v>2607</v>
      </c>
      <c r="N116" s="32" t="s">
        <v>909</v>
      </c>
      <c r="O116" s="31">
        <f>2452.5</f>
        <v>2452.5</v>
      </c>
      <c r="P116" s="32" t="s">
        <v>819</v>
      </c>
      <c r="Q116" s="31">
        <f>2549</f>
        <v>2549</v>
      </c>
      <c r="R116" s="32" t="s">
        <v>818</v>
      </c>
      <c r="S116" s="33">
        <f>2529.64</f>
        <v>2529.64</v>
      </c>
      <c r="T116" s="30">
        <f>1495780</f>
        <v>1495780</v>
      </c>
      <c r="U116" s="30">
        <f>504700</f>
        <v>504700</v>
      </c>
      <c r="V116" s="30">
        <f>3776148338</f>
        <v>3776148338</v>
      </c>
      <c r="W116" s="30">
        <f>1256425868</f>
        <v>1256425868</v>
      </c>
      <c r="X116" s="34">
        <f>22</f>
        <v>22</v>
      </c>
    </row>
    <row r="117" spans="1:24" x14ac:dyDescent="0.15">
      <c r="A117" s="25" t="s">
        <v>1006</v>
      </c>
      <c r="B117" s="25" t="s">
        <v>388</v>
      </c>
      <c r="C117" s="25" t="s">
        <v>389</v>
      </c>
      <c r="D117" s="25" t="s">
        <v>390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900</f>
        <v>900</v>
      </c>
      <c r="L117" s="32" t="s">
        <v>909</v>
      </c>
      <c r="M117" s="31">
        <f>965</f>
        <v>965</v>
      </c>
      <c r="N117" s="32" t="s">
        <v>819</v>
      </c>
      <c r="O117" s="31">
        <f>840.1</f>
        <v>840.1</v>
      </c>
      <c r="P117" s="32" t="s">
        <v>906</v>
      </c>
      <c r="Q117" s="31">
        <f>849.1</f>
        <v>849.1</v>
      </c>
      <c r="R117" s="32" t="s">
        <v>818</v>
      </c>
      <c r="S117" s="33">
        <f>898.33</f>
        <v>898.33</v>
      </c>
      <c r="T117" s="30">
        <f>540</f>
        <v>540</v>
      </c>
      <c r="U117" s="30" t="str">
        <f>"－"</f>
        <v>－</v>
      </c>
      <c r="V117" s="30">
        <f>491978</f>
        <v>491978</v>
      </c>
      <c r="W117" s="30" t="str">
        <f>"－"</f>
        <v>－</v>
      </c>
      <c r="X117" s="34">
        <f>12</f>
        <v>12</v>
      </c>
    </row>
    <row r="118" spans="1:24" x14ac:dyDescent="0.15">
      <c r="A118" s="25" t="s">
        <v>1006</v>
      </c>
      <c r="B118" s="25" t="s">
        <v>391</v>
      </c>
      <c r="C118" s="25" t="s">
        <v>392</v>
      </c>
      <c r="D118" s="25" t="s">
        <v>393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1526</f>
        <v>1526</v>
      </c>
      <c r="L118" s="32" t="s">
        <v>904</v>
      </c>
      <c r="M118" s="31">
        <f>1577</f>
        <v>1577</v>
      </c>
      <c r="N118" s="32" t="s">
        <v>819</v>
      </c>
      <c r="O118" s="31">
        <f>1513.5</f>
        <v>1513.5</v>
      </c>
      <c r="P118" s="32" t="s">
        <v>907</v>
      </c>
      <c r="Q118" s="31">
        <f>1541.5</f>
        <v>1541.5</v>
      </c>
      <c r="R118" s="32" t="s">
        <v>818</v>
      </c>
      <c r="S118" s="33">
        <f>1545.65</f>
        <v>1545.65</v>
      </c>
      <c r="T118" s="30">
        <f>742290</f>
        <v>742290</v>
      </c>
      <c r="U118" s="30">
        <f>741460</f>
        <v>741460</v>
      </c>
      <c r="V118" s="30">
        <f>1155084666</f>
        <v>1155084666</v>
      </c>
      <c r="W118" s="30">
        <f>1153796031</f>
        <v>1153796031</v>
      </c>
      <c r="X118" s="34">
        <f>10</f>
        <v>10</v>
      </c>
    </row>
    <row r="119" spans="1:24" x14ac:dyDescent="0.15">
      <c r="A119" s="25" t="s">
        <v>1006</v>
      </c>
      <c r="B119" s="25" t="s">
        <v>394</v>
      </c>
      <c r="C119" s="25" t="s">
        <v>395</v>
      </c>
      <c r="D119" s="25" t="s">
        <v>396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1639</f>
        <v>1639</v>
      </c>
      <c r="L119" s="32" t="s">
        <v>904</v>
      </c>
      <c r="M119" s="31">
        <f>1693</f>
        <v>1693</v>
      </c>
      <c r="N119" s="32" t="s">
        <v>816</v>
      </c>
      <c r="O119" s="31">
        <f>1594</f>
        <v>1594</v>
      </c>
      <c r="P119" s="32" t="s">
        <v>811</v>
      </c>
      <c r="Q119" s="31">
        <f>1653</f>
        <v>1653</v>
      </c>
      <c r="R119" s="32" t="s">
        <v>818</v>
      </c>
      <c r="S119" s="33">
        <f>1648.73</f>
        <v>1648.73</v>
      </c>
      <c r="T119" s="30">
        <f>10825</f>
        <v>10825</v>
      </c>
      <c r="U119" s="30" t="str">
        <f>"－"</f>
        <v>－</v>
      </c>
      <c r="V119" s="30">
        <f>17803709</f>
        <v>17803709</v>
      </c>
      <c r="W119" s="30" t="str">
        <f>"－"</f>
        <v>－</v>
      </c>
      <c r="X119" s="34">
        <f>22</f>
        <v>22</v>
      </c>
    </row>
    <row r="120" spans="1:24" x14ac:dyDescent="0.15">
      <c r="A120" s="25" t="s">
        <v>1006</v>
      </c>
      <c r="B120" s="25" t="s">
        <v>397</v>
      </c>
      <c r="C120" s="25" t="s">
        <v>398</v>
      </c>
      <c r="D120" s="25" t="s">
        <v>399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17565</f>
        <v>17565</v>
      </c>
      <c r="L120" s="32" t="s">
        <v>904</v>
      </c>
      <c r="M120" s="31">
        <f>18140</f>
        <v>18140</v>
      </c>
      <c r="N120" s="32" t="s">
        <v>819</v>
      </c>
      <c r="O120" s="31">
        <f>17360</f>
        <v>17360</v>
      </c>
      <c r="P120" s="32" t="s">
        <v>909</v>
      </c>
      <c r="Q120" s="31">
        <f>17750</f>
        <v>17750</v>
      </c>
      <c r="R120" s="32" t="s">
        <v>818</v>
      </c>
      <c r="S120" s="33">
        <f>17745.23</f>
        <v>17745.23</v>
      </c>
      <c r="T120" s="30">
        <f>155316</f>
        <v>155316</v>
      </c>
      <c r="U120" s="30">
        <f>15271</f>
        <v>15271</v>
      </c>
      <c r="V120" s="30">
        <f>2778046610</f>
        <v>2778046610</v>
      </c>
      <c r="W120" s="30">
        <f>270927480</f>
        <v>270927480</v>
      </c>
      <c r="X120" s="34">
        <f>22</f>
        <v>22</v>
      </c>
    </row>
    <row r="121" spans="1:24" x14ac:dyDescent="0.15">
      <c r="A121" s="25" t="s">
        <v>1006</v>
      </c>
      <c r="B121" s="25" t="s">
        <v>400</v>
      </c>
      <c r="C121" s="25" t="s">
        <v>401</v>
      </c>
      <c r="D121" s="25" t="s">
        <v>402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1605</f>
        <v>1605</v>
      </c>
      <c r="L121" s="32" t="s">
        <v>904</v>
      </c>
      <c r="M121" s="31">
        <f>1653</f>
        <v>1653</v>
      </c>
      <c r="N121" s="32" t="s">
        <v>819</v>
      </c>
      <c r="O121" s="31">
        <f>1582</f>
        <v>1582</v>
      </c>
      <c r="P121" s="32" t="s">
        <v>907</v>
      </c>
      <c r="Q121" s="31">
        <f>1615</f>
        <v>1615</v>
      </c>
      <c r="R121" s="32" t="s">
        <v>818</v>
      </c>
      <c r="S121" s="33">
        <f>1617.91</f>
        <v>1617.91</v>
      </c>
      <c r="T121" s="30">
        <f>37676</f>
        <v>37676</v>
      </c>
      <c r="U121" s="30" t="str">
        <f>"－"</f>
        <v>－</v>
      </c>
      <c r="V121" s="30">
        <f>61160169</f>
        <v>61160169</v>
      </c>
      <c r="W121" s="30" t="str">
        <f>"－"</f>
        <v>－</v>
      </c>
      <c r="X121" s="34">
        <f>22</f>
        <v>22</v>
      </c>
    </row>
    <row r="122" spans="1:24" x14ac:dyDescent="0.15">
      <c r="A122" s="25" t="s">
        <v>1006</v>
      </c>
      <c r="B122" s="25" t="s">
        <v>403</v>
      </c>
      <c r="C122" s="25" t="s">
        <v>404</v>
      </c>
      <c r="D122" s="25" t="s">
        <v>405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17860</f>
        <v>17860</v>
      </c>
      <c r="L122" s="32" t="s">
        <v>904</v>
      </c>
      <c r="M122" s="31">
        <f>18475</f>
        <v>18475</v>
      </c>
      <c r="N122" s="32" t="s">
        <v>819</v>
      </c>
      <c r="O122" s="31">
        <f>17660</f>
        <v>17660</v>
      </c>
      <c r="P122" s="32" t="s">
        <v>909</v>
      </c>
      <c r="Q122" s="31">
        <f>18030</f>
        <v>18030</v>
      </c>
      <c r="R122" s="32" t="s">
        <v>818</v>
      </c>
      <c r="S122" s="33">
        <f>18057.95</f>
        <v>18057.95</v>
      </c>
      <c r="T122" s="30">
        <f>11356</f>
        <v>11356</v>
      </c>
      <c r="U122" s="30">
        <f>1580</f>
        <v>1580</v>
      </c>
      <c r="V122" s="30">
        <f>206621049</f>
        <v>206621049</v>
      </c>
      <c r="W122" s="30">
        <f>28989504</f>
        <v>28989504</v>
      </c>
      <c r="X122" s="34">
        <f>22</f>
        <v>22</v>
      </c>
    </row>
    <row r="123" spans="1:24" x14ac:dyDescent="0.15">
      <c r="A123" s="25" t="s">
        <v>1006</v>
      </c>
      <c r="B123" s="25" t="s">
        <v>406</v>
      </c>
      <c r="C123" s="25" t="s">
        <v>407</v>
      </c>
      <c r="D123" s="25" t="s">
        <v>408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2064</f>
        <v>2064</v>
      </c>
      <c r="L123" s="32" t="s">
        <v>904</v>
      </c>
      <c r="M123" s="31">
        <f>2088.5</f>
        <v>2088.5</v>
      </c>
      <c r="N123" s="32" t="s">
        <v>818</v>
      </c>
      <c r="O123" s="31">
        <f>2036.5</f>
        <v>2036.5</v>
      </c>
      <c r="P123" s="32" t="s">
        <v>907</v>
      </c>
      <c r="Q123" s="31">
        <f>2081.5</f>
        <v>2081.5</v>
      </c>
      <c r="R123" s="32" t="s">
        <v>818</v>
      </c>
      <c r="S123" s="33">
        <f>2058.8</f>
        <v>2058.8000000000002</v>
      </c>
      <c r="T123" s="30">
        <f>940030</f>
        <v>940030</v>
      </c>
      <c r="U123" s="30">
        <f>503990</f>
        <v>503990</v>
      </c>
      <c r="V123" s="30">
        <f>1938794920</f>
        <v>1938794920</v>
      </c>
      <c r="W123" s="30">
        <f>1042568325</f>
        <v>1042568325</v>
      </c>
      <c r="X123" s="34">
        <f>22</f>
        <v>22</v>
      </c>
    </row>
    <row r="124" spans="1:24" x14ac:dyDescent="0.15">
      <c r="A124" s="25" t="s">
        <v>1006</v>
      </c>
      <c r="B124" s="25" t="s">
        <v>409</v>
      </c>
      <c r="C124" s="25" t="s">
        <v>410</v>
      </c>
      <c r="D124" s="25" t="s">
        <v>411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1683</f>
        <v>1683</v>
      </c>
      <c r="L124" s="32" t="s">
        <v>904</v>
      </c>
      <c r="M124" s="31">
        <f>1722</f>
        <v>1722</v>
      </c>
      <c r="N124" s="32" t="s">
        <v>906</v>
      </c>
      <c r="O124" s="31">
        <f>1683</f>
        <v>1683</v>
      </c>
      <c r="P124" s="32" t="s">
        <v>904</v>
      </c>
      <c r="Q124" s="31">
        <f>1687</f>
        <v>1687</v>
      </c>
      <c r="R124" s="32" t="s">
        <v>936</v>
      </c>
      <c r="S124" s="33">
        <f>1701.5</f>
        <v>1701.5</v>
      </c>
      <c r="T124" s="30">
        <f>1100</f>
        <v>1100</v>
      </c>
      <c r="U124" s="30" t="str">
        <f>"－"</f>
        <v>－</v>
      </c>
      <c r="V124" s="30">
        <f>1880100</f>
        <v>1880100</v>
      </c>
      <c r="W124" s="30" t="str">
        <f>"－"</f>
        <v>－</v>
      </c>
      <c r="X124" s="34">
        <f>4</f>
        <v>4</v>
      </c>
    </row>
    <row r="125" spans="1:24" x14ac:dyDescent="0.15">
      <c r="A125" s="25" t="s">
        <v>1006</v>
      </c>
      <c r="B125" s="25" t="s">
        <v>412</v>
      </c>
      <c r="C125" s="25" t="s">
        <v>413</v>
      </c>
      <c r="D125" s="25" t="s">
        <v>414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2081.5</f>
        <v>2081.5</v>
      </c>
      <c r="L125" s="32" t="s">
        <v>904</v>
      </c>
      <c r="M125" s="31">
        <f>2111.5</f>
        <v>2111.5</v>
      </c>
      <c r="N125" s="32" t="s">
        <v>818</v>
      </c>
      <c r="O125" s="31">
        <f>2055.5</f>
        <v>2055.5</v>
      </c>
      <c r="P125" s="32" t="s">
        <v>907</v>
      </c>
      <c r="Q125" s="31">
        <f>2101.5</f>
        <v>2101.5</v>
      </c>
      <c r="R125" s="32" t="s">
        <v>818</v>
      </c>
      <c r="S125" s="33">
        <f>2081.16</f>
        <v>2081.16</v>
      </c>
      <c r="T125" s="30">
        <f>2230570</f>
        <v>2230570</v>
      </c>
      <c r="U125" s="30">
        <f>1707600</f>
        <v>1707600</v>
      </c>
      <c r="V125" s="30">
        <f>4660078437</f>
        <v>4660078437</v>
      </c>
      <c r="W125" s="30">
        <f>3570134662</f>
        <v>3570134662</v>
      </c>
      <c r="X125" s="34">
        <f>22</f>
        <v>22</v>
      </c>
    </row>
    <row r="126" spans="1:24" x14ac:dyDescent="0.15">
      <c r="A126" s="25" t="s">
        <v>1006</v>
      </c>
      <c r="B126" s="25" t="s">
        <v>415</v>
      </c>
      <c r="C126" s="25" t="s">
        <v>416</v>
      </c>
      <c r="D126" s="25" t="s">
        <v>417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17750</f>
        <v>17750</v>
      </c>
      <c r="L126" s="32" t="s">
        <v>904</v>
      </c>
      <c r="M126" s="31">
        <f>18185</f>
        <v>18185</v>
      </c>
      <c r="N126" s="32" t="s">
        <v>816</v>
      </c>
      <c r="O126" s="31">
        <f>17490</f>
        <v>17490</v>
      </c>
      <c r="P126" s="32" t="s">
        <v>907</v>
      </c>
      <c r="Q126" s="31">
        <f>17555</f>
        <v>17555</v>
      </c>
      <c r="R126" s="32" t="s">
        <v>936</v>
      </c>
      <c r="S126" s="33">
        <f>17880.42</f>
        <v>17880.419999999998</v>
      </c>
      <c r="T126" s="30">
        <f>17673</f>
        <v>17673</v>
      </c>
      <c r="U126" s="30">
        <f>17200</f>
        <v>17200</v>
      </c>
      <c r="V126" s="30">
        <f>321427997</f>
        <v>321427997</v>
      </c>
      <c r="W126" s="30">
        <f>312941272</f>
        <v>312941272</v>
      </c>
      <c r="X126" s="34">
        <f>12</f>
        <v>12</v>
      </c>
    </row>
    <row r="127" spans="1:24" x14ac:dyDescent="0.15">
      <c r="A127" s="25" t="s">
        <v>1006</v>
      </c>
      <c r="B127" s="25" t="s">
        <v>418</v>
      </c>
      <c r="C127" s="25" t="s">
        <v>419</v>
      </c>
      <c r="D127" s="25" t="s">
        <v>420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100</v>
      </c>
      <c r="K127" s="31">
        <f>165.9</f>
        <v>165.9</v>
      </c>
      <c r="L127" s="32" t="s">
        <v>904</v>
      </c>
      <c r="M127" s="31">
        <f>166.9</f>
        <v>166.9</v>
      </c>
      <c r="N127" s="32" t="s">
        <v>904</v>
      </c>
      <c r="O127" s="31">
        <f>159.7</f>
        <v>159.69999999999999</v>
      </c>
      <c r="P127" s="32" t="s">
        <v>810</v>
      </c>
      <c r="Q127" s="31">
        <f>164.7</f>
        <v>164.7</v>
      </c>
      <c r="R127" s="32" t="s">
        <v>818</v>
      </c>
      <c r="S127" s="33">
        <f>163.84</f>
        <v>163.84</v>
      </c>
      <c r="T127" s="30">
        <f>15788700</f>
        <v>15788700</v>
      </c>
      <c r="U127" s="30">
        <f>31800</f>
        <v>31800</v>
      </c>
      <c r="V127" s="30">
        <f>2590483995</f>
        <v>2590483995</v>
      </c>
      <c r="W127" s="30">
        <f>5165955</f>
        <v>5165955</v>
      </c>
      <c r="X127" s="34">
        <f>22</f>
        <v>22</v>
      </c>
    </row>
    <row r="128" spans="1:24" x14ac:dyDescent="0.15">
      <c r="A128" s="25" t="s">
        <v>1006</v>
      </c>
      <c r="B128" s="25" t="s">
        <v>421</v>
      </c>
      <c r="C128" s="25" t="s">
        <v>422</v>
      </c>
      <c r="D128" s="25" t="s">
        <v>423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29100</f>
        <v>29100</v>
      </c>
      <c r="L128" s="32" t="s">
        <v>904</v>
      </c>
      <c r="M128" s="31">
        <f>29750</f>
        <v>29750</v>
      </c>
      <c r="N128" s="32" t="s">
        <v>813</v>
      </c>
      <c r="O128" s="31">
        <f>28650</f>
        <v>28650</v>
      </c>
      <c r="P128" s="32" t="s">
        <v>811</v>
      </c>
      <c r="Q128" s="31">
        <f>29335</f>
        <v>29335</v>
      </c>
      <c r="R128" s="32" t="s">
        <v>818</v>
      </c>
      <c r="S128" s="33">
        <f>29333.41</f>
        <v>29333.41</v>
      </c>
      <c r="T128" s="30">
        <f>1104</f>
        <v>1104</v>
      </c>
      <c r="U128" s="30" t="str">
        <f>"－"</f>
        <v>－</v>
      </c>
      <c r="V128" s="30">
        <f>32438040</f>
        <v>32438040</v>
      </c>
      <c r="W128" s="30" t="str">
        <f>"－"</f>
        <v>－</v>
      </c>
      <c r="X128" s="34">
        <f>22</f>
        <v>22</v>
      </c>
    </row>
    <row r="129" spans="1:24" x14ac:dyDescent="0.15">
      <c r="A129" s="25" t="s">
        <v>1006</v>
      </c>
      <c r="B129" s="25" t="s">
        <v>424</v>
      </c>
      <c r="C129" s="25" t="s">
        <v>425</v>
      </c>
      <c r="D129" s="25" t="s">
        <v>426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13835</f>
        <v>13835</v>
      </c>
      <c r="L129" s="32" t="s">
        <v>904</v>
      </c>
      <c r="M129" s="31">
        <f>14980</f>
        <v>14980</v>
      </c>
      <c r="N129" s="32" t="s">
        <v>934</v>
      </c>
      <c r="O129" s="31">
        <f>12775</f>
        <v>12775</v>
      </c>
      <c r="P129" s="32" t="s">
        <v>810</v>
      </c>
      <c r="Q129" s="31">
        <f>14495</f>
        <v>14495</v>
      </c>
      <c r="R129" s="32" t="s">
        <v>818</v>
      </c>
      <c r="S129" s="33">
        <f>13919.32</f>
        <v>13919.32</v>
      </c>
      <c r="T129" s="30">
        <f>20470</f>
        <v>20470</v>
      </c>
      <c r="U129" s="30" t="str">
        <f>"－"</f>
        <v>－</v>
      </c>
      <c r="V129" s="30">
        <f>285624455</f>
        <v>285624455</v>
      </c>
      <c r="W129" s="30" t="str">
        <f>"－"</f>
        <v>－</v>
      </c>
      <c r="X129" s="34">
        <f>22</f>
        <v>22</v>
      </c>
    </row>
    <row r="130" spans="1:24" x14ac:dyDescent="0.15">
      <c r="A130" s="25" t="s">
        <v>1006</v>
      </c>
      <c r="B130" s="25" t="s">
        <v>427</v>
      </c>
      <c r="C130" s="25" t="s">
        <v>428</v>
      </c>
      <c r="D130" s="25" t="s">
        <v>429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21140</f>
        <v>21140</v>
      </c>
      <c r="L130" s="32" t="s">
        <v>904</v>
      </c>
      <c r="M130" s="31">
        <f>21735</f>
        <v>21735</v>
      </c>
      <c r="N130" s="32" t="s">
        <v>812</v>
      </c>
      <c r="O130" s="31">
        <f>20670</f>
        <v>20670</v>
      </c>
      <c r="P130" s="32" t="s">
        <v>905</v>
      </c>
      <c r="Q130" s="31">
        <f>21260</f>
        <v>21260</v>
      </c>
      <c r="R130" s="32" t="s">
        <v>818</v>
      </c>
      <c r="S130" s="33">
        <f>21266.14</f>
        <v>21266.14</v>
      </c>
      <c r="T130" s="30">
        <f>689</f>
        <v>689</v>
      </c>
      <c r="U130" s="30" t="str">
        <f>"－"</f>
        <v>－</v>
      </c>
      <c r="V130" s="30">
        <f>14597695</f>
        <v>14597695</v>
      </c>
      <c r="W130" s="30" t="str">
        <f>"－"</f>
        <v>－</v>
      </c>
      <c r="X130" s="34">
        <f>22</f>
        <v>22</v>
      </c>
    </row>
    <row r="131" spans="1:24" x14ac:dyDescent="0.15">
      <c r="A131" s="25" t="s">
        <v>1006</v>
      </c>
      <c r="B131" s="25" t="s">
        <v>430</v>
      </c>
      <c r="C131" s="25" t="s">
        <v>431</v>
      </c>
      <c r="D131" s="25" t="s">
        <v>432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24395</f>
        <v>24395</v>
      </c>
      <c r="L131" s="32" t="s">
        <v>904</v>
      </c>
      <c r="M131" s="31">
        <f>25350</f>
        <v>25350</v>
      </c>
      <c r="N131" s="32" t="s">
        <v>819</v>
      </c>
      <c r="O131" s="31">
        <f>24175</f>
        <v>24175</v>
      </c>
      <c r="P131" s="32" t="s">
        <v>810</v>
      </c>
      <c r="Q131" s="31">
        <f>24455</f>
        <v>24455</v>
      </c>
      <c r="R131" s="32" t="s">
        <v>818</v>
      </c>
      <c r="S131" s="33">
        <f>24712.73</f>
        <v>24712.73</v>
      </c>
      <c r="T131" s="30">
        <f>1050</f>
        <v>1050</v>
      </c>
      <c r="U131" s="30" t="str">
        <f>"－"</f>
        <v>－</v>
      </c>
      <c r="V131" s="30">
        <f>25908530</f>
        <v>25908530</v>
      </c>
      <c r="W131" s="30" t="str">
        <f>"－"</f>
        <v>－</v>
      </c>
      <c r="X131" s="34">
        <f>22</f>
        <v>22</v>
      </c>
    </row>
    <row r="132" spans="1:24" x14ac:dyDescent="0.15">
      <c r="A132" s="25" t="s">
        <v>1006</v>
      </c>
      <c r="B132" s="25" t="s">
        <v>433</v>
      </c>
      <c r="C132" s="25" t="s">
        <v>434</v>
      </c>
      <c r="D132" s="25" t="s">
        <v>435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24320</f>
        <v>24320</v>
      </c>
      <c r="L132" s="32" t="s">
        <v>904</v>
      </c>
      <c r="M132" s="31">
        <f>25170</f>
        <v>25170</v>
      </c>
      <c r="N132" s="32" t="s">
        <v>915</v>
      </c>
      <c r="O132" s="31">
        <f>23135</f>
        <v>23135</v>
      </c>
      <c r="P132" s="32" t="s">
        <v>907</v>
      </c>
      <c r="Q132" s="31">
        <f>24640</f>
        <v>24640</v>
      </c>
      <c r="R132" s="32" t="s">
        <v>818</v>
      </c>
      <c r="S132" s="33">
        <f>24312.5</f>
        <v>24312.5</v>
      </c>
      <c r="T132" s="30">
        <f>5587</f>
        <v>5587</v>
      </c>
      <c r="U132" s="30" t="str">
        <f>"－"</f>
        <v>－</v>
      </c>
      <c r="V132" s="30">
        <f>134895260</f>
        <v>134895260</v>
      </c>
      <c r="W132" s="30" t="str">
        <f>"－"</f>
        <v>－</v>
      </c>
      <c r="X132" s="34">
        <f>22</f>
        <v>22</v>
      </c>
    </row>
    <row r="133" spans="1:24" x14ac:dyDescent="0.15">
      <c r="A133" s="25" t="s">
        <v>1006</v>
      </c>
      <c r="B133" s="25" t="s">
        <v>436</v>
      </c>
      <c r="C133" s="25" t="s">
        <v>437</v>
      </c>
      <c r="D133" s="25" t="s">
        <v>438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23750</f>
        <v>23750</v>
      </c>
      <c r="L133" s="32" t="s">
        <v>904</v>
      </c>
      <c r="M133" s="31">
        <f>25045</f>
        <v>25045</v>
      </c>
      <c r="N133" s="32" t="s">
        <v>819</v>
      </c>
      <c r="O133" s="31">
        <f>23520</f>
        <v>23520</v>
      </c>
      <c r="P133" s="32" t="s">
        <v>810</v>
      </c>
      <c r="Q133" s="31">
        <f>24550</f>
        <v>24550</v>
      </c>
      <c r="R133" s="32" t="s">
        <v>818</v>
      </c>
      <c r="S133" s="33">
        <f>24374.32</f>
        <v>24374.32</v>
      </c>
      <c r="T133" s="30">
        <f>6307</f>
        <v>6307</v>
      </c>
      <c r="U133" s="30">
        <f>3000</f>
        <v>3000</v>
      </c>
      <c r="V133" s="30">
        <f>153857165</f>
        <v>153857165</v>
      </c>
      <c r="W133" s="30">
        <f>73329000</f>
        <v>73329000</v>
      </c>
      <c r="X133" s="34">
        <f>22</f>
        <v>22</v>
      </c>
    </row>
    <row r="134" spans="1:24" x14ac:dyDescent="0.15">
      <c r="A134" s="25" t="s">
        <v>1006</v>
      </c>
      <c r="B134" s="25" t="s">
        <v>439</v>
      </c>
      <c r="C134" s="25" t="s">
        <v>440</v>
      </c>
      <c r="D134" s="25" t="s">
        <v>441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16015</f>
        <v>16015</v>
      </c>
      <c r="L134" s="32" t="s">
        <v>904</v>
      </c>
      <c r="M134" s="31">
        <f>17185</f>
        <v>17185</v>
      </c>
      <c r="N134" s="32" t="s">
        <v>934</v>
      </c>
      <c r="O134" s="31">
        <f>15620</f>
        <v>15620</v>
      </c>
      <c r="P134" s="32" t="s">
        <v>811</v>
      </c>
      <c r="Q134" s="31">
        <f>17080</f>
        <v>17080</v>
      </c>
      <c r="R134" s="32" t="s">
        <v>818</v>
      </c>
      <c r="S134" s="33">
        <f>16618.86</f>
        <v>16618.86</v>
      </c>
      <c r="T134" s="30">
        <f>1912</f>
        <v>1912</v>
      </c>
      <c r="U134" s="30" t="str">
        <f>"－"</f>
        <v>－</v>
      </c>
      <c r="V134" s="30">
        <f>31619045</f>
        <v>31619045</v>
      </c>
      <c r="W134" s="30" t="str">
        <f>"－"</f>
        <v>－</v>
      </c>
      <c r="X134" s="34">
        <f>22</f>
        <v>22</v>
      </c>
    </row>
    <row r="135" spans="1:24" x14ac:dyDescent="0.15">
      <c r="A135" s="25" t="s">
        <v>1006</v>
      </c>
      <c r="B135" s="25" t="s">
        <v>442</v>
      </c>
      <c r="C135" s="25" t="s">
        <v>443</v>
      </c>
      <c r="D135" s="25" t="s">
        <v>444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38570</f>
        <v>38570</v>
      </c>
      <c r="L135" s="32" t="s">
        <v>904</v>
      </c>
      <c r="M135" s="31">
        <f>40200</f>
        <v>40200</v>
      </c>
      <c r="N135" s="32" t="s">
        <v>816</v>
      </c>
      <c r="O135" s="31">
        <f>38120</f>
        <v>38120</v>
      </c>
      <c r="P135" s="32" t="s">
        <v>909</v>
      </c>
      <c r="Q135" s="31">
        <f>39340</f>
        <v>39340</v>
      </c>
      <c r="R135" s="32" t="s">
        <v>818</v>
      </c>
      <c r="S135" s="33">
        <f>39196.36</f>
        <v>39196.36</v>
      </c>
      <c r="T135" s="30">
        <f>579</f>
        <v>579</v>
      </c>
      <c r="U135" s="30" t="str">
        <f>"－"</f>
        <v>－</v>
      </c>
      <c r="V135" s="30">
        <f>22665950</f>
        <v>22665950</v>
      </c>
      <c r="W135" s="30" t="str">
        <f>"－"</f>
        <v>－</v>
      </c>
      <c r="X135" s="34">
        <f>22</f>
        <v>22</v>
      </c>
    </row>
    <row r="136" spans="1:24" x14ac:dyDescent="0.15">
      <c r="A136" s="25" t="s">
        <v>1006</v>
      </c>
      <c r="B136" s="25" t="s">
        <v>445</v>
      </c>
      <c r="C136" s="25" t="s">
        <v>446</v>
      </c>
      <c r="D136" s="25" t="s">
        <v>447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27000</f>
        <v>27000</v>
      </c>
      <c r="L136" s="32" t="s">
        <v>904</v>
      </c>
      <c r="M136" s="31">
        <f>28500</f>
        <v>28500</v>
      </c>
      <c r="N136" s="32" t="s">
        <v>816</v>
      </c>
      <c r="O136" s="31">
        <f>26815</f>
        <v>26815</v>
      </c>
      <c r="P136" s="32" t="s">
        <v>909</v>
      </c>
      <c r="Q136" s="31">
        <f>27300</f>
        <v>27300</v>
      </c>
      <c r="R136" s="32" t="s">
        <v>818</v>
      </c>
      <c r="S136" s="33">
        <f>27688.86</f>
        <v>27688.86</v>
      </c>
      <c r="T136" s="30">
        <f>4775</f>
        <v>4775</v>
      </c>
      <c r="U136" s="30">
        <f>2000</f>
        <v>2000</v>
      </c>
      <c r="V136" s="30">
        <f>132148675</f>
        <v>132148675</v>
      </c>
      <c r="W136" s="30">
        <f>55734800</f>
        <v>55734800</v>
      </c>
      <c r="X136" s="34">
        <f>22</f>
        <v>22</v>
      </c>
    </row>
    <row r="137" spans="1:24" x14ac:dyDescent="0.15">
      <c r="A137" s="25" t="s">
        <v>1006</v>
      </c>
      <c r="B137" s="25" t="s">
        <v>448</v>
      </c>
      <c r="C137" s="25" t="s">
        <v>449</v>
      </c>
      <c r="D137" s="25" t="s">
        <v>450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28550</f>
        <v>28550</v>
      </c>
      <c r="L137" s="32" t="s">
        <v>904</v>
      </c>
      <c r="M137" s="31">
        <f>29135</f>
        <v>29135</v>
      </c>
      <c r="N137" s="32" t="s">
        <v>816</v>
      </c>
      <c r="O137" s="31">
        <f>27655</f>
        <v>27655</v>
      </c>
      <c r="P137" s="32" t="s">
        <v>936</v>
      </c>
      <c r="Q137" s="31">
        <f>27960</f>
        <v>27960</v>
      </c>
      <c r="R137" s="32" t="s">
        <v>818</v>
      </c>
      <c r="S137" s="33">
        <f>28460</f>
        <v>28460</v>
      </c>
      <c r="T137" s="30">
        <f>799</f>
        <v>799</v>
      </c>
      <c r="U137" s="30" t="str">
        <f>"－"</f>
        <v>－</v>
      </c>
      <c r="V137" s="30">
        <f>22594935</f>
        <v>22594935</v>
      </c>
      <c r="W137" s="30" t="str">
        <f>"－"</f>
        <v>－</v>
      </c>
      <c r="X137" s="34">
        <f>22</f>
        <v>22</v>
      </c>
    </row>
    <row r="138" spans="1:24" x14ac:dyDescent="0.15">
      <c r="A138" s="25" t="s">
        <v>1006</v>
      </c>
      <c r="B138" s="25" t="s">
        <v>451</v>
      </c>
      <c r="C138" s="25" t="s">
        <v>452</v>
      </c>
      <c r="D138" s="25" t="s">
        <v>453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6469</f>
        <v>6469</v>
      </c>
      <c r="L138" s="32" t="s">
        <v>904</v>
      </c>
      <c r="M138" s="31">
        <f>6590</f>
        <v>6590</v>
      </c>
      <c r="N138" s="32" t="s">
        <v>820</v>
      </c>
      <c r="O138" s="31">
        <f>6102</f>
        <v>6102</v>
      </c>
      <c r="P138" s="32" t="s">
        <v>810</v>
      </c>
      <c r="Q138" s="31">
        <f>6506</f>
        <v>6506</v>
      </c>
      <c r="R138" s="32" t="s">
        <v>818</v>
      </c>
      <c r="S138" s="33">
        <f>6369.68</f>
        <v>6369.68</v>
      </c>
      <c r="T138" s="30">
        <f>41291</f>
        <v>41291</v>
      </c>
      <c r="U138" s="30">
        <f>20000</f>
        <v>20000</v>
      </c>
      <c r="V138" s="30">
        <f>264090867</f>
        <v>264090867</v>
      </c>
      <c r="W138" s="30">
        <f>128104000</f>
        <v>128104000</v>
      </c>
      <c r="X138" s="34">
        <f>22</f>
        <v>22</v>
      </c>
    </row>
    <row r="139" spans="1:24" x14ac:dyDescent="0.15">
      <c r="A139" s="25" t="s">
        <v>1006</v>
      </c>
      <c r="B139" s="25" t="s">
        <v>454</v>
      </c>
      <c r="C139" s="25" t="s">
        <v>455</v>
      </c>
      <c r="D139" s="25" t="s">
        <v>456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15560</f>
        <v>15560</v>
      </c>
      <c r="L139" s="32" t="s">
        <v>904</v>
      </c>
      <c r="M139" s="31">
        <f>16175</f>
        <v>16175</v>
      </c>
      <c r="N139" s="32" t="s">
        <v>818</v>
      </c>
      <c r="O139" s="31">
        <f>15545</f>
        <v>15545</v>
      </c>
      <c r="P139" s="32" t="s">
        <v>904</v>
      </c>
      <c r="Q139" s="31">
        <f>16140</f>
        <v>16140</v>
      </c>
      <c r="R139" s="32" t="s">
        <v>818</v>
      </c>
      <c r="S139" s="33">
        <f>15912.73</f>
        <v>15912.73</v>
      </c>
      <c r="T139" s="30">
        <f>18330</f>
        <v>18330</v>
      </c>
      <c r="U139" s="30">
        <f>6401</f>
        <v>6401</v>
      </c>
      <c r="V139" s="30">
        <f>290780615</f>
        <v>290780615</v>
      </c>
      <c r="W139" s="30">
        <f>100825740</f>
        <v>100825740</v>
      </c>
      <c r="X139" s="34">
        <f>22</f>
        <v>22</v>
      </c>
    </row>
    <row r="140" spans="1:24" x14ac:dyDescent="0.15">
      <c r="A140" s="25" t="s">
        <v>1006</v>
      </c>
      <c r="B140" s="25" t="s">
        <v>457</v>
      </c>
      <c r="C140" s="25" t="s">
        <v>458</v>
      </c>
      <c r="D140" s="25" t="s">
        <v>459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44180</f>
        <v>44180</v>
      </c>
      <c r="L140" s="32" t="s">
        <v>904</v>
      </c>
      <c r="M140" s="31">
        <f>47610</f>
        <v>47610</v>
      </c>
      <c r="N140" s="32" t="s">
        <v>934</v>
      </c>
      <c r="O140" s="31">
        <f>43680</f>
        <v>43680</v>
      </c>
      <c r="P140" s="32" t="s">
        <v>909</v>
      </c>
      <c r="Q140" s="31">
        <f>47030</f>
        <v>47030</v>
      </c>
      <c r="R140" s="32" t="s">
        <v>818</v>
      </c>
      <c r="S140" s="33">
        <f>45699.55</f>
        <v>45699.55</v>
      </c>
      <c r="T140" s="30">
        <f>12523</f>
        <v>12523</v>
      </c>
      <c r="U140" s="30" t="str">
        <f>"－"</f>
        <v>－</v>
      </c>
      <c r="V140" s="30">
        <f>559426430</f>
        <v>559426430</v>
      </c>
      <c r="W140" s="30" t="str">
        <f>"－"</f>
        <v>－</v>
      </c>
      <c r="X140" s="34">
        <f>22</f>
        <v>22</v>
      </c>
    </row>
    <row r="141" spans="1:24" x14ac:dyDescent="0.15">
      <c r="A141" s="25" t="s">
        <v>1006</v>
      </c>
      <c r="B141" s="25" t="s">
        <v>460</v>
      </c>
      <c r="C141" s="25" t="s">
        <v>461</v>
      </c>
      <c r="D141" s="25" t="s">
        <v>462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21875</f>
        <v>21875</v>
      </c>
      <c r="L141" s="32" t="s">
        <v>904</v>
      </c>
      <c r="M141" s="31">
        <f>22835</f>
        <v>22835</v>
      </c>
      <c r="N141" s="32" t="s">
        <v>819</v>
      </c>
      <c r="O141" s="31">
        <f>21545</f>
        <v>21545</v>
      </c>
      <c r="P141" s="32" t="s">
        <v>909</v>
      </c>
      <c r="Q141" s="31">
        <f>22415</f>
        <v>22415</v>
      </c>
      <c r="R141" s="32" t="s">
        <v>934</v>
      </c>
      <c r="S141" s="33">
        <f>22246.67</f>
        <v>22246.67</v>
      </c>
      <c r="T141" s="30">
        <f>815</f>
        <v>815</v>
      </c>
      <c r="U141" s="30" t="str">
        <f>"－"</f>
        <v>－</v>
      </c>
      <c r="V141" s="30">
        <f>18166000</f>
        <v>18166000</v>
      </c>
      <c r="W141" s="30" t="str">
        <f>"－"</f>
        <v>－</v>
      </c>
      <c r="X141" s="34">
        <f>21</f>
        <v>21</v>
      </c>
    </row>
    <row r="142" spans="1:24" x14ac:dyDescent="0.15">
      <c r="A142" s="25" t="s">
        <v>1006</v>
      </c>
      <c r="B142" s="25" t="s">
        <v>463</v>
      </c>
      <c r="C142" s="25" t="s">
        <v>464</v>
      </c>
      <c r="D142" s="25" t="s">
        <v>465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8579</f>
        <v>8579</v>
      </c>
      <c r="L142" s="32" t="s">
        <v>904</v>
      </c>
      <c r="M142" s="31">
        <f>8640</f>
        <v>8640</v>
      </c>
      <c r="N142" s="32" t="s">
        <v>812</v>
      </c>
      <c r="O142" s="31">
        <f>8266</f>
        <v>8266</v>
      </c>
      <c r="P142" s="32" t="s">
        <v>810</v>
      </c>
      <c r="Q142" s="31">
        <f>8550</f>
        <v>8550</v>
      </c>
      <c r="R142" s="32" t="s">
        <v>818</v>
      </c>
      <c r="S142" s="33">
        <f>8488.95</f>
        <v>8488.9500000000007</v>
      </c>
      <c r="T142" s="30">
        <f>6986</f>
        <v>6986</v>
      </c>
      <c r="U142" s="30" t="str">
        <f>"－"</f>
        <v>－</v>
      </c>
      <c r="V142" s="30">
        <f>59114105</f>
        <v>59114105</v>
      </c>
      <c r="W142" s="30" t="str">
        <f>"－"</f>
        <v>－</v>
      </c>
      <c r="X142" s="34">
        <f>22</f>
        <v>22</v>
      </c>
    </row>
    <row r="143" spans="1:24" x14ac:dyDescent="0.15">
      <c r="A143" s="25" t="s">
        <v>1006</v>
      </c>
      <c r="B143" s="25" t="s">
        <v>466</v>
      </c>
      <c r="C143" s="25" t="s">
        <v>467</v>
      </c>
      <c r="D143" s="25" t="s">
        <v>468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14765</f>
        <v>14765</v>
      </c>
      <c r="L143" s="32" t="s">
        <v>904</v>
      </c>
      <c r="M143" s="31">
        <f>14905</f>
        <v>14905</v>
      </c>
      <c r="N143" s="32" t="s">
        <v>904</v>
      </c>
      <c r="O143" s="31">
        <f>14230</f>
        <v>14230</v>
      </c>
      <c r="P143" s="32" t="s">
        <v>912</v>
      </c>
      <c r="Q143" s="31">
        <f>14775</f>
        <v>14775</v>
      </c>
      <c r="R143" s="32" t="s">
        <v>818</v>
      </c>
      <c r="S143" s="33">
        <f>14636.59</f>
        <v>14636.59</v>
      </c>
      <c r="T143" s="30">
        <f>8931</f>
        <v>8931</v>
      </c>
      <c r="U143" s="30">
        <f>7500</f>
        <v>7500</v>
      </c>
      <c r="V143" s="30">
        <f>131806300</f>
        <v>131806300</v>
      </c>
      <c r="W143" s="30">
        <f>110932500</f>
        <v>110932500</v>
      </c>
      <c r="X143" s="34">
        <f>22</f>
        <v>22</v>
      </c>
    </row>
    <row r="144" spans="1:24" x14ac:dyDescent="0.15">
      <c r="A144" s="25" t="s">
        <v>1006</v>
      </c>
      <c r="B144" s="25" t="s">
        <v>469</v>
      </c>
      <c r="C144" s="25" t="s">
        <v>470</v>
      </c>
      <c r="D144" s="25" t="s">
        <v>471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30900</f>
        <v>30900</v>
      </c>
      <c r="L144" s="32" t="s">
        <v>904</v>
      </c>
      <c r="M144" s="31">
        <f>31060</f>
        <v>31060</v>
      </c>
      <c r="N144" s="32" t="s">
        <v>904</v>
      </c>
      <c r="O144" s="31">
        <f>29870</f>
        <v>29870</v>
      </c>
      <c r="P144" s="32" t="s">
        <v>905</v>
      </c>
      <c r="Q144" s="31">
        <f>30210</f>
        <v>30210</v>
      </c>
      <c r="R144" s="32" t="s">
        <v>818</v>
      </c>
      <c r="S144" s="33">
        <f>30427.95</f>
        <v>30427.95</v>
      </c>
      <c r="T144" s="30">
        <f>750</f>
        <v>750</v>
      </c>
      <c r="U144" s="30" t="str">
        <f>"－"</f>
        <v>－</v>
      </c>
      <c r="V144" s="30">
        <f>22848905</f>
        <v>22848905</v>
      </c>
      <c r="W144" s="30" t="str">
        <f>"－"</f>
        <v>－</v>
      </c>
      <c r="X144" s="34">
        <f>22</f>
        <v>22</v>
      </c>
    </row>
    <row r="145" spans="1:24" x14ac:dyDescent="0.15">
      <c r="A145" s="25" t="s">
        <v>1006</v>
      </c>
      <c r="B145" s="25" t="s">
        <v>472</v>
      </c>
      <c r="C145" s="25" t="s">
        <v>473</v>
      </c>
      <c r="D145" s="25" t="s">
        <v>474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1222.5</f>
        <v>1222.5</v>
      </c>
      <c r="L145" s="32" t="s">
        <v>904</v>
      </c>
      <c r="M145" s="31">
        <f>1252</f>
        <v>1252</v>
      </c>
      <c r="N145" s="32" t="s">
        <v>934</v>
      </c>
      <c r="O145" s="31">
        <f>1194</f>
        <v>1194</v>
      </c>
      <c r="P145" s="32" t="s">
        <v>810</v>
      </c>
      <c r="Q145" s="31">
        <f>1237</f>
        <v>1237</v>
      </c>
      <c r="R145" s="32" t="s">
        <v>818</v>
      </c>
      <c r="S145" s="33">
        <f>1224.5</f>
        <v>1224.5</v>
      </c>
      <c r="T145" s="30">
        <f>1016310</f>
        <v>1016310</v>
      </c>
      <c r="U145" s="30">
        <f>692160</f>
        <v>692160</v>
      </c>
      <c r="V145" s="30">
        <f>1243508138</f>
        <v>1243508138</v>
      </c>
      <c r="W145" s="30">
        <f>846427968</f>
        <v>846427968</v>
      </c>
      <c r="X145" s="34">
        <f>22</f>
        <v>22</v>
      </c>
    </row>
    <row r="146" spans="1:24" x14ac:dyDescent="0.15">
      <c r="A146" s="25" t="s">
        <v>1006</v>
      </c>
      <c r="B146" s="25" t="s">
        <v>475</v>
      </c>
      <c r="C146" s="25" t="s">
        <v>476</v>
      </c>
      <c r="D146" s="25" t="s">
        <v>477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2302.5</f>
        <v>2302.5</v>
      </c>
      <c r="L146" s="32" t="s">
        <v>810</v>
      </c>
      <c r="M146" s="31">
        <f>2386.5</f>
        <v>2386.5</v>
      </c>
      <c r="N146" s="32" t="s">
        <v>816</v>
      </c>
      <c r="O146" s="31">
        <f>2302.5</f>
        <v>2302.5</v>
      </c>
      <c r="P146" s="32" t="s">
        <v>810</v>
      </c>
      <c r="Q146" s="31">
        <f>2331.5</f>
        <v>2331.5</v>
      </c>
      <c r="R146" s="32" t="s">
        <v>934</v>
      </c>
      <c r="S146" s="33">
        <f>2348</f>
        <v>2348</v>
      </c>
      <c r="T146" s="30">
        <f>2150</f>
        <v>2150</v>
      </c>
      <c r="U146" s="30" t="str">
        <f>"－"</f>
        <v>－</v>
      </c>
      <c r="V146" s="30">
        <f>5041715</f>
        <v>5041715</v>
      </c>
      <c r="W146" s="30" t="str">
        <f>"－"</f>
        <v>－</v>
      </c>
      <c r="X146" s="34">
        <f>11</f>
        <v>11</v>
      </c>
    </row>
    <row r="147" spans="1:24" x14ac:dyDescent="0.15">
      <c r="A147" s="25" t="s">
        <v>1006</v>
      </c>
      <c r="B147" s="25" t="s">
        <v>478</v>
      </c>
      <c r="C147" s="25" t="s">
        <v>479</v>
      </c>
      <c r="D147" s="25" t="s">
        <v>480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2511</f>
        <v>2511</v>
      </c>
      <c r="L147" s="32" t="s">
        <v>904</v>
      </c>
      <c r="M147" s="31">
        <f>2555.5</f>
        <v>2555.5</v>
      </c>
      <c r="N147" s="32" t="s">
        <v>819</v>
      </c>
      <c r="O147" s="31">
        <f>2449</f>
        <v>2449</v>
      </c>
      <c r="P147" s="32" t="s">
        <v>936</v>
      </c>
      <c r="Q147" s="31">
        <f>2480.5</f>
        <v>2480.5</v>
      </c>
      <c r="R147" s="32" t="s">
        <v>818</v>
      </c>
      <c r="S147" s="33">
        <f>2508.83</f>
        <v>2508.83</v>
      </c>
      <c r="T147" s="30">
        <f>326410</f>
        <v>326410</v>
      </c>
      <c r="U147" s="30">
        <f>84000</f>
        <v>84000</v>
      </c>
      <c r="V147" s="30">
        <f>817877895</f>
        <v>817877895</v>
      </c>
      <c r="W147" s="30">
        <f>214967340</f>
        <v>214967340</v>
      </c>
      <c r="X147" s="34">
        <f>21</f>
        <v>21</v>
      </c>
    </row>
    <row r="148" spans="1:24" x14ac:dyDescent="0.15">
      <c r="A148" s="25" t="s">
        <v>1006</v>
      </c>
      <c r="B148" s="25" t="s">
        <v>481</v>
      </c>
      <c r="C148" s="25" t="s">
        <v>482</v>
      </c>
      <c r="D148" s="25" t="s">
        <v>483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1537.5</f>
        <v>1537.5</v>
      </c>
      <c r="L148" s="32" t="s">
        <v>909</v>
      </c>
      <c r="M148" s="31">
        <f>1578</f>
        <v>1578</v>
      </c>
      <c r="N148" s="32" t="s">
        <v>814</v>
      </c>
      <c r="O148" s="31">
        <f>1525</f>
        <v>1525</v>
      </c>
      <c r="P148" s="32" t="s">
        <v>811</v>
      </c>
      <c r="Q148" s="31">
        <f>1551</f>
        <v>1551</v>
      </c>
      <c r="R148" s="32" t="s">
        <v>934</v>
      </c>
      <c r="S148" s="33">
        <f>1554.33</f>
        <v>1554.33</v>
      </c>
      <c r="T148" s="30">
        <f>4850</f>
        <v>4850</v>
      </c>
      <c r="U148" s="30" t="str">
        <f>"－"</f>
        <v>－</v>
      </c>
      <c r="V148" s="30">
        <f>7523100</f>
        <v>7523100</v>
      </c>
      <c r="W148" s="30" t="str">
        <f>"－"</f>
        <v>－</v>
      </c>
      <c r="X148" s="34">
        <f>12</f>
        <v>12</v>
      </c>
    </row>
    <row r="149" spans="1:24" x14ac:dyDescent="0.15">
      <c r="A149" s="25" t="s">
        <v>1006</v>
      </c>
      <c r="B149" s="25" t="s">
        <v>484</v>
      </c>
      <c r="C149" s="25" t="s">
        <v>485</v>
      </c>
      <c r="D149" s="25" t="s">
        <v>486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396.1</f>
        <v>396.1</v>
      </c>
      <c r="L149" s="32" t="s">
        <v>904</v>
      </c>
      <c r="M149" s="31">
        <f>418.9</f>
        <v>418.9</v>
      </c>
      <c r="N149" s="32" t="s">
        <v>816</v>
      </c>
      <c r="O149" s="31">
        <f>385.9</f>
        <v>385.9</v>
      </c>
      <c r="P149" s="32" t="s">
        <v>909</v>
      </c>
      <c r="Q149" s="31">
        <f>398.8</f>
        <v>398.8</v>
      </c>
      <c r="R149" s="32" t="s">
        <v>818</v>
      </c>
      <c r="S149" s="33">
        <f>404.38</f>
        <v>404.38</v>
      </c>
      <c r="T149" s="30">
        <f>92085290</f>
        <v>92085290</v>
      </c>
      <c r="U149" s="30">
        <f>43420370</f>
        <v>43420370</v>
      </c>
      <c r="V149" s="30">
        <f>37219944878</f>
        <v>37219944878</v>
      </c>
      <c r="W149" s="30">
        <f>17515636541</f>
        <v>17515636541</v>
      </c>
      <c r="X149" s="34">
        <f>22</f>
        <v>22</v>
      </c>
    </row>
    <row r="150" spans="1:24" x14ac:dyDescent="0.15">
      <c r="A150" s="25" t="s">
        <v>1006</v>
      </c>
      <c r="B150" s="25" t="s">
        <v>487</v>
      </c>
      <c r="C150" s="25" t="s">
        <v>488</v>
      </c>
      <c r="D150" s="25" t="s">
        <v>489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2882</f>
        <v>2882</v>
      </c>
      <c r="L150" s="32" t="s">
        <v>904</v>
      </c>
      <c r="M150" s="31">
        <f>2911</f>
        <v>2911</v>
      </c>
      <c r="N150" s="32" t="s">
        <v>818</v>
      </c>
      <c r="O150" s="31">
        <f>2830</f>
        <v>2830</v>
      </c>
      <c r="P150" s="32" t="s">
        <v>813</v>
      </c>
      <c r="Q150" s="31">
        <f>2895</f>
        <v>2895</v>
      </c>
      <c r="R150" s="32" t="s">
        <v>818</v>
      </c>
      <c r="S150" s="33">
        <f>2878.91</f>
        <v>2878.91</v>
      </c>
      <c r="T150" s="30">
        <f>1736386</f>
        <v>1736386</v>
      </c>
      <c r="U150" s="30">
        <f>995266</f>
        <v>995266</v>
      </c>
      <c r="V150" s="30">
        <f>4984881767</f>
        <v>4984881767</v>
      </c>
      <c r="W150" s="30">
        <f>2855674942</f>
        <v>2855674942</v>
      </c>
      <c r="X150" s="34">
        <f>22</f>
        <v>22</v>
      </c>
    </row>
    <row r="151" spans="1:24" x14ac:dyDescent="0.15">
      <c r="A151" s="25" t="s">
        <v>1006</v>
      </c>
      <c r="B151" s="25" t="s">
        <v>490</v>
      </c>
      <c r="C151" s="25" t="s">
        <v>491</v>
      </c>
      <c r="D151" s="25" t="s">
        <v>492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3425</f>
        <v>3425</v>
      </c>
      <c r="L151" s="32" t="s">
        <v>904</v>
      </c>
      <c r="M151" s="31">
        <f>3565</f>
        <v>3565</v>
      </c>
      <c r="N151" s="32" t="s">
        <v>816</v>
      </c>
      <c r="O151" s="31">
        <f>3330</f>
        <v>3330</v>
      </c>
      <c r="P151" s="32" t="s">
        <v>909</v>
      </c>
      <c r="Q151" s="31">
        <f>3420</f>
        <v>3420</v>
      </c>
      <c r="R151" s="32" t="s">
        <v>818</v>
      </c>
      <c r="S151" s="33">
        <f>3462.27</f>
        <v>3462.27</v>
      </c>
      <c r="T151" s="30">
        <f>75729</f>
        <v>75729</v>
      </c>
      <c r="U151" s="30">
        <f>7897</f>
        <v>7897</v>
      </c>
      <c r="V151" s="30">
        <f>260974154</f>
        <v>260974154</v>
      </c>
      <c r="W151" s="30">
        <f>26928754</f>
        <v>26928754</v>
      </c>
      <c r="X151" s="34">
        <f>22</f>
        <v>22</v>
      </c>
    </row>
    <row r="152" spans="1:24" x14ac:dyDescent="0.15">
      <c r="A152" s="25" t="s">
        <v>1006</v>
      </c>
      <c r="B152" s="25" t="s">
        <v>493</v>
      </c>
      <c r="C152" s="25" t="s">
        <v>494</v>
      </c>
      <c r="D152" s="25" t="s">
        <v>495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2208</f>
        <v>2208</v>
      </c>
      <c r="L152" s="32" t="s">
        <v>904</v>
      </c>
      <c r="M152" s="31">
        <f>2286</f>
        <v>2286</v>
      </c>
      <c r="N152" s="32" t="s">
        <v>812</v>
      </c>
      <c r="O152" s="31">
        <f>2127</f>
        <v>2127</v>
      </c>
      <c r="P152" s="32" t="s">
        <v>909</v>
      </c>
      <c r="Q152" s="31">
        <f>2275</f>
        <v>2275</v>
      </c>
      <c r="R152" s="32" t="s">
        <v>818</v>
      </c>
      <c r="S152" s="33">
        <f>2234.23</f>
        <v>2234.23</v>
      </c>
      <c r="T152" s="30">
        <f>81366</f>
        <v>81366</v>
      </c>
      <c r="U152" s="30">
        <f>1</f>
        <v>1</v>
      </c>
      <c r="V152" s="30">
        <f>182503515</f>
        <v>182503515</v>
      </c>
      <c r="W152" s="30">
        <f>2270</f>
        <v>2270</v>
      </c>
      <c r="X152" s="34">
        <f>22</f>
        <v>22</v>
      </c>
    </row>
    <row r="153" spans="1:24" x14ac:dyDescent="0.15">
      <c r="A153" s="25" t="s">
        <v>1006</v>
      </c>
      <c r="B153" s="25" t="s">
        <v>496</v>
      </c>
      <c r="C153" s="25" t="s">
        <v>497</v>
      </c>
      <c r="D153" s="25" t="s">
        <v>498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2889</f>
        <v>2889</v>
      </c>
      <c r="L153" s="32" t="s">
        <v>904</v>
      </c>
      <c r="M153" s="31">
        <f>2986</f>
        <v>2986</v>
      </c>
      <c r="N153" s="32" t="s">
        <v>819</v>
      </c>
      <c r="O153" s="31">
        <f>2789</f>
        <v>2789</v>
      </c>
      <c r="P153" s="32" t="s">
        <v>909</v>
      </c>
      <c r="Q153" s="31">
        <f>2841</f>
        <v>2841</v>
      </c>
      <c r="R153" s="32" t="s">
        <v>818</v>
      </c>
      <c r="S153" s="33">
        <f>2893.68</f>
        <v>2893.68</v>
      </c>
      <c r="T153" s="30">
        <f>118591</f>
        <v>118591</v>
      </c>
      <c r="U153" s="30">
        <f>35</f>
        <v>35</v>
      </c>
      <c r="V153" s="30">
        <f>343106772</f>
        <v>343106772</v>
      </c>
      <c r="W153" s="30">
        <f>107675</f>
        <v>107675</v>
      </c>
      <c r="X153" s="34">
        <f>22</f>
        <v>22</v>
      </c>
    </row>
    <row r="154" spans="1:24" x14ac:dyDescent="0.15">
      <c r="A154" s="25" t="s">
        <v>1006</v>
      </c>
      <c r="B154" s="25" t="s">
        <v>499</v>
      </c>
      <c r="C154" s="25" t="s">
        <v>500</v>
      </c>
      <c r="D154" s="25" t="s">
        <v>501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11395</f>
        <v>11395</v>
      </c>
      <c r="L154" s="32" t="s">
        <v>904</v>
      </c>
      <c r="M154" s="31">
        <f>11590</f>
        <v>11590</v>
      </c>
      <c r="N154" s="32" t="s">
        <v>934</v>
      </c>
      <c r="O154" s="31">
        <f>11245</f>
        <v>11245</v>
      </c>
      <c r="P154" s="32" t="s">
        <v>907</v>
      </c>
      <c r="Q154" s="31">
        <f>11560</f>
        <v>11560</v>
      </c>
      <c r="R154" s="32" t="s">
        <v>818</v>
      </c>
      <c r="S154" s="33">
        <f>11392.95</f>
        <v>11392.95</v>
      </c>
      <c r="T154" s="30">
        <f>10165</f>
        <v>10165</v>
      </c>
      <c r="U154" s="30">
        <f>8</f>
        <v>8</v>
      </c>
      <c r="V154" s="30">
        <f>115706185</f>
        <v>115706185</v>
      </c>
      <c r="W154" s="30">
        <f>84600</f>
        <v>84600</v>
      </c>
      <c r="X154" s="34">
        <f>22</f>
        <v>22</v>
      </c>
    </row>
    <row r="155" spans="1:24" x14ac:dyDescent="0.15">
      <c r="A155" s="25" t="s">
        <v>1006</v>
      </c>
      <c r="B155" s="25" t="s">
        <v>502</v>
      </c>
      <c r="C155" s="25" t="s">
        <v>503</v>
      </c>
      <c r="D155" s="25" t="s">
        <v>504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2970</f>
        <v>2970</v>
      </c>
      <c r="L155" s="32" t="s">
        <v>904</v>
      </c>
      <c r="M155" s="31">
        <f>3105</f>
        <v>3105</v>
      </c>
      <c r="N155" s="32" t="s">
        <v>934</v>
      </c>
      <c r="O155" s="31">
        <f>2684</f>
        <v>2684</v>
      </c>
      <c r="P155" s="32" t="s">
        <v>819</v>
      </c>
      <c r="Q155" s="31">
        <f>2973</f>
        <v>2973</v>
      </c>
      <c r="R155" s="32" t="s">
        <v>818</v>
      </c>
      <c r="S155" s="33">
        <f>2866.18</f>
        <v>2866.18</v>
      </c>
      <c r="T155" s="30">
        <f>13381041</f>
        <v>13381041</v>
      </c>
      <c r="U155" s="30">
        <f>3910</f>
        <v>3910</v>
      </c>
      <c r="V155" s="30">
        <f>38302781504</f>
        <v>38302781504</v>
      </c>
      <c r="W155" s="30">
        <f>12089181</f>
        <v>12089181</v>
      </c>
      <c r="X155" s="34">
        <f>22</f>
        <v>22</v>
      </c>
    </row>
    <row r="156" spans="1:24" x14ac:dyDescent="0.15">
      <c r="A156" s="25" t="s">
        <v>1006</v>
      </c>
      <c r="B156" s="25" t="s">
        <v>505</v>
      </c>
      <c r="C156" s="25" t="s">
        <v>506</v>
      </c>
      <c r="D156" s="25" t="s">
        <v>507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22160</f>
        <v>22160</v>
      </c>
      <c r="L156" s="32" t="s">
        <v>904</v>
      </c>
      <c r="M156" s="31">
        <f>22840</f>
        <v>22840</v>
      </c>
      <c r="N156" s="32" t="s">
        <v>905</v>
      </c>
      <c r="O156" s="31">
        <f>21835</f>
        <v>21835</v>
      </c>
      <c r="P156" s="32" t="s">
        <v>909</v>
      </c>
      <c r="Q156" s="31">
        <f>22515</f>
        <v>22515</v>
      </c>
      <c r="R156" s="32" t="s">
        <v>818</v>
      </c>
      <c r="S156" s="33">
        <f>22484.09</f>
        <v>22484.09</v>
      </c>
      <c r="T156" s="30">
        <f>2266</f>
        <v>2266</v>
      </c>
      <c r="U156" s="30" t="str">
        <f>"－"</f>
        <v>－</v>
      </c>
      <c r="V156" s="30">
        <f>50779755</f>
        <v>50779755</v>
      </c>
      <c r="W156" s="30" t="str">
        <f>"－"</f>
        <v>－</v>
      </c>
      <c r="X156" s="34">
        <f>22</f>
        <v>22</v>
      </c>
    </row>
    <row r="157" spans="1:24" x14ac:dyDescent="0.15">
      <c r="A157" s="25" t="s">
        <v>1006</v>
      </c>
      <c r="B157" s="25" t="s">
        <v>508</v>
      </c>
      <c r="C157" s="25" t="s">
        <v>509</v>
      </c>
      <c r="D157" s="25" t="s">
        <v>510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2511.5</f>
        <v>2511.5</v>
      </c>
      <c r="L157" s="32" t="s">
        <v>904</v>
      </c>
      <c r="M157" s="31">
        <f>2597</f>
        <v>2597</v>
      </c>
      <c r="N157" s="32" t="s">
        <v>905</v>
      </c>
      <c r="O157" s="31">
        <f>2360</f>
        <v>2360</v>
      </c>
      <c r="P157" s="32" t="s">
        <v>818</v>
      </c>
      <c r="Q157" s="31">
        <f>2384.5</f>
        <v>2384.5</v>
      </c>
      <c r="R157" s="32" t="s">
        <v>818</v>
      </c>
      <c r="S157" s="33">
        <f>2473.25</f>
        <v>2473.25</v>
      </c>
      <c r="T157" s="30">
        <f>29320</f>
        <v>29320</v>
      </c>
      <c r="U157" s="30" t="str">
        <f>"－"</f>
        <v>－</v>
      </c>
      <c r="V157" s="30">
        <f>72719650</f>
        <v>72719650</v>
      </c>
      <c r="W157" s="30" t="str">
        <f>"－"</f>
        <v>－</v>
      </c>
      <c r="X157" s="34">
        <f>22</f>
        <v>22</v>
      </c>
    </row>
    <row r="158" spans="1:24" x14ac:dyDescent="0.15">
      <c r="A158" s="25" t="s">
        <v>1006</v>
      </c>
      <c r="B158" s="25" t="s">
        <v>511</v>
      </c>
      <c r="C158" s="25" t="s">
        <v>512</v>
      </c>
      <c r="D158" s="25" t="s">
        <v>513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11205</f>
        <v>11205</v>
      </c>
      <c r="L158" s="32" t="s">
        <v>904</v>
      </c>
      <c r="M158" s="31">
        <f>11900</f>
        <v>11900</v>
      </c>
      <c r="N158" s="32" t="s">
        <v>915</v>
      </c>
      <c r="O158" s="31">
        <f>10970</f>
        <v>10970</v>
      </c>
      <c r="P158" s="32" t="s">
        <v>818</v>
      </c>
      <c r="Q158" s="31">
        <f>11050</f>
        <v>11050</v>
      </c>
      <c r="R158" s="32" t="s">
        <v>818</v>
      </c>
      <c r="S158" s="33">
        <f>11379.05</f>
        <v>11379.05</v>
      </c>
      <c r="T158" s="30">
        <f>3537</f>
        <v>3537</v>
      </c>
      <c r="U158" s="30" t="str">
        <f>"－"</f>
        <v>－</v>
      </c>
      <c r="V158" s="30">
        <f>40447325</f>
        <v>40447325</v>
      </c>
      <c r="W158" s="30" t="str">
        <f>"－"</f>
        <v>－</v>
      </c>
      <c r="X158" s="34">
        <f>21</f>
        <v>21</v>
      </c>
    </row>
    <row r="159" spans="1:24" x14ac:dyDescent="0.15">
      <c r="A159" s="25" t="s">
        <v>1006</v>
      </c>
      <c r="B159" s="25" t="s">
        <v>514</v>
      </c>
      <c r="C159" s="25" t="s">
        <v>515</v>
      </c>
      <c r="D159" s="25" t="s">
        <v>516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25780</f>
        <v>25780</v>
      </c>
      <c r="L159" s="32" t="s">
        <v>904</v>
      </c>
      <c r="M159" s="31">
        <f>27885</f>
        <v>27885</v>
      </c>
      <c r="N159" s="32" t="s">
        <v>813</v>
      </c>
      <c r="O159" s="31">
        <f>24820</f>
        <v>24820</v>
      </c>
      <c r="P159" s="32" t="s">
        <v>811</v>
      </c>
      <c r="Q159" s="31">
        <f>26950</f>
        <v>26950</v>
      </c>
      <c r="R159" s="32" t="s">
        <v>818</v>
      </c>
      <c r="S159" s="33">
        <f>26452.05</f>
        <v>26452.05</v>
      </c>
      <c r="T159" s="30">
        <f>2427</f>
        <v>2427</v>
      </c>
      <c r="U159" s="30" t="str">
        <f>"－"</f>
        <v>－</v>
      </c>
      <c r="V159" s="30">
        <f>65070510</f>
        <v>65070510</v>
      </c>
      <c r="W159" s="30" t="str">
        <f>"－"</f>
        <v>－</v>
      </c>
      <c r="X159" s="34">
        <f>22</f>
        <v>22</v>
      </c>
    </row>
    <row r="160" spans="1:24" x14ac:dyDescent="0.15">
      <c r="A160" s="25" t="s">
        <v>1006</v>
      </c>
      <c r="B160" s="25" t="s">
        <v>517</v>
      </c>
      <c r="C160" s="25" t="s">
        <v>518</v>
      </c>
      <c r="D160" s="25" t="s">
        <v>519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18875</f>
        <v>18875</v>
      </c>
      <c r="L160" s="32" t="s">
        <v>904</v>
      </c>
      <c r="M160" s="31">
        <f>19190</f>
        <v>19190</v>
      </c>
      <c r="N160" s="32" t="s">
        <v>915</v>
      </c>
      <c r="O160" s="31">
        <f>17945</f>
        <v>17945</v>
      </c>
      <c r="P160" s="32" t="s">
        <v>815</v>
      </c>
      <c r="Q160" s="31">
        <f>18550</f>
        <v>18550</v>
      </c>
      <c r="R160" s="32" t="s">
        <v>936</v>
      </c>
      <c r="S160" s="33">
        <f>18746.33</f>
        <v>18746.330000000002</v>
      </c>
      <c r="T160" s="30">
        <f>231</f>
        <v>231</v>
      </c>
      <c r="U160" s="30" t="str">
        <f>"－"</f>
        <v>－</v>
      </c>
      <c r="V160" s="30">
        <f>4330880</f>
        <v>4330880</v>
      </c>
      <c r="W160" s="30" t="str">
        <f>"－"</f>
        <v>－</v>
      </c>
      <c r="X160" s="34">
        <f>15</f>
        <v>15</v>
      </c>
    </row>
    <row r="161" spans="1:24" x14ac:dyDescent="0.15">
      <c r="A161" s="25" t="s">
        <v>1006</v>
      </c>
      <c r="B161" s="25" t="s">
        <v>520</v>
      </c>
      <c r="C161" s="25" t="s">
        <v>521</v>
      </c>
      <c r="D161" s="25" t="s">
        <v>522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52070</f>
        <v>52070</v>
      </c>
      <c r="L161" s="32" t="s">
        <v>904</v>
      </c>
      <c r="M161" s="31">
        <f>52450</f>
        <v>52450</v>
      </c>
      <c r="N161" s="32" t="s">
        <v>912</v>
      </c>
      <c r="O161" s="31">
        <f>51210</f>
        <v>51210</v>
      </c>
      <c r="P161" s="32" t="s">
        <v>820</v>
      </c>
      <c r="Q161" s="31">
        <f>51680</f>
        <v>51680</v>
      </c>
      <c r="R161" s="32" t="s">
        <v>818</v>
      </c>
      <c r="S161" s="33">
        <f>51892.27</f>
        <v>51892.27</v>
      </c>
      <c r="T161" s="30">
        <f>5890</f>
        <v>5890</v>
      </c>
      <c r="U161" s="30">
        <f>2150</f>
        <v>2150</v>
      </c>
      <c r="V161" s="30">
        <f>305481548</f>
        <v>305481548</v>
      </c>
      <c r="W161" s="30">
        <f>111278548</f>
        <v>111278548</v>
      </c>
      <c r="X161" s="34">
        <f>22</f>
        <v>22</v>
      </c>
    </row>
    <row r="162" spans="1:24" x14ac:dyDescent="0.15">
      <c r="A162" s="25" t="s">
        <v>1006</v>
      </c>
      <c r="B162" s="25" t="s">
        <v>523</v>
      </c>
      <c r="C162" s="25" t="s">
        <v>524</v>
      </c>
      <c r="D162" s="25" t="s">
        <v>525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257.5</f>
        <v>257.5</v>
      </c>
      <c r="L162" s="32" t="s">
        <v>904</v>
      </c>
      <c r="M162" s="31">
        <f>273.6</f>
        <v>273.60000000000002</v>
      </c>
      <c r="N162" s="32" t="s">
        <v>816</v>
      </c>
      <c r="O162" s="31">
        <f>253</f>
        <v>253</v>
      </c>
      <c r="P162" s="32" t="s">
        <v>909</v>
      </c>
      <c r="Q162" s="31">
        <f>271.7</f>
        <v>271.7</v>
      </c>
      <c r="R162" s="32" t="s">
        <v>818</v>
      </c>
      <c r="S162" s="33">
        <f>265.11</f>
        <v>265.11</v>
      </c>
      <c r="T162" s="30">
        <f>9476100</f>
        <v>9476100</v>
      </c>
      <c r="U162" s="30" t="str">
        <f>"－"</f>
        <v>－</v>
      </c>
      <c r="V162" s="30">
        <f>2509174260</f>
        <v>2509174260</v>
      </c>
      <c r="W162" s="30" t="str">
        <f>"－"</f>
        <v>－</v>
      </c>
      <c r="X162" s="34">
        <f>22</f>
        <v>22</v>
      </c>
    </row>
    <row r="163" spans="1:24" x14ac:dyDescent="0.15">
      <c r="A163" s="25" t="s">
        <v>1006</v>
      </c>
      <c r="B163" s="25" t="s">
        <v>526</v>
      </c>
      <c r="C163" s="25" t="s">
        <v>527</v>
      </c>
      <c r="D163" s="25" t="s">
        <v>528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37810</f>
        <v>37810</v>
      </c>
      <c r="L163" s="32" t="s">
        <v>904</v>
      </c>
      <c r="M163" s="31">
        <f>40150</f>
        <v>40150</v>
      </c>
      <c r="N163" s="32" t="s">
        <v>816</v>
      </c>
      <c r="O163" s="31">
        <f>37000</f>
        <v>37000</v>
      </c>
      <c r="P163" s="32" t="s">
        <v>909</v>
      </c>
      <c r="Q163" s="31">
        <f>38410</f>
        <v>38410</v>
      </c>
      <c r="R163" s="32" t="s">
        <v>818</v>
      </c>
      <c r="S163" s="33">
        <f>38725.45</f>
        <v>38725.449999999997</v>
      </c>
      <c r="T163" s="30">
        <f>25310</f>
        <v>25310</v>
      </c>
      <c r="U163" s="30">
        <f>12030</f>
        <v>12030</v>
      </c>
      <c r="V163" s="30">
        <f>981176424</f>
        <v>981176424</v>
      </c>
      <c r="W163" s="30">
        <f>460316624</f>
        <v>460316624</v>
      </c>
      <c r="X163" s="34">
        <f>22</f>
        <v>22</v>
      </c>
    </row>
    <row r="164" spans="1:24" x14ac:dyDescent="0.15">
      <c r="A164" s="25" t="s">
        <v>1006</v>
      </c>
      <c r="B164" s="25" t="s">
        <v>529</v>
      </c>
      <c r="C164" s="25" t="s">
        <v>530</v>
      </c>
      <c r="D164" s="25" t="s">
        <v>531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3890</f>
        <v>3890</v>
      </c>
      <c r="L164" s="32" t="s">
        <v>904</v>
      </c>
      <c r="M164" s="31">
        <f>4097</f>
        <v>4097</v>
      </c>
      <c r="N164" s="32" t="s">
        <v>816</v>
      </c>
      <c r="O164" s="31">
        <f>3797</f>
        <v>3797</v>
      </c>
      <c r="P164" s="32" t="s">
        <v>909</v>
      </c>
      <c r="Q164" s="31">
        <f>3925</f>
        <v>3925</v>
      </c>
      <c r="R164" s="32" t="s">
        <v>818</v>
      </c>
      <c r="S164" s="33">
        <f>3971.68</f>
        <v>3971.68</v>
      </c>
      <c r="T164" s="30">
        <f>105080</f>
        <v>105080</v>
      </c>
      <c r="U164" s="30" t="str">
        <f t="shared" ref="U164:U171" si="4">"－"</f>
        <v>－</v>
      </c>
      <c r="V164" s="30">
        <f>417096570</f>
        <v>417096570</v>
      </c>
      <c r="W164" s="30" t="str">
        <f t="shared" ref="W164:W171" si="5">"－"</f>
        <v>－</v>
      </c>
      <c r="X164" s="34">
        <f>22</f>
        <v>22</v>
      </c>
    </row>
    <row r="165" spans="1:24" x14ac:dyDescent="0.15">
      <c r="A165" s="25" t="s">
        <v>1006</v>
      </c>
      <c r="B165" s="25" t="s">
        <v>532</v>
      </c>
      <c r="C165" s="25" t="s">
        <v>533</v>
      </c>
      <c r="D165" s="25" t="s">
        <v>534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1687</f>
        <v>1687</v>
      </c>
      <c r="L165" s="32" t="s">
        <v>904</v>
      </c>
      <c r="M165" s="31">
        <f>1767</f>
        <v>1767</v>
      </c>
      <c r="N165" s="32" t="s">
        <v>812</v>
      </c>
      <c r="O165" s="31">
        <f>1627</f>
        <v>1627</v>
      </c>
      <c r="P165" s="32" t="s">
        <v>909</v>
      </c>
      <c r="Q165" s="31">
        <f>1754</f>
        <v>1754</v>
      </c>
      <c r="R165" s="32" t="s">
        <v>818</v>
      </c>
      <c r="S165" s="33">
        <f>1718.8</f>
        <v>1718.8</v>
      </c>
      <c r="T165" s="30">
        <f>141470</f>
        <v>141470</v>
      </c>
      <c r="U165" s="30" t="str">
        <f t="shared" si="4"/>
        <v>－</v>
      </c>
      <c r="V165" s="30">
        <f>244134430</f>
        <v>244134430</v>
      </c>
      <c r="W165" s="30" t="str">
        <f t="shared" si="5"/>
        <v>－</v>
      </c>
      <c r="X165" s="34">
        <f>22</f>
        <v>22</v>
      </c>
    </row>
    <row r="166" spans="1:24" x14ac:dyDescent="0.15">
      <c r="A166" s="25" t="s">
        <v>1006</v>
      </c>
      <c r="B166" s="25" t="s">
        <v>535</v>
      </c>
      <c r="C166" s="25" t="s">
        <v>536</v>
      </c>
      <c r="D166" s="25" t="s">
        <v>537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100</v>
      </c>
      <c r="K166" s="31">
        <f>204.8</f>
        <v>204.8</v>
      </c>
      <c r="L166" s="32" t="s">
        <v>904</v>
      </c>
      <c r="M166" s="31">
        <f>214</f>
        <v>214</v>
      </c>
      <c r="N166" s="32" t="s">
        <v>915</v>
      </c>
      <c r="O166" s="31">
        <f>200.2</f>
        <v>200.2</v>
      </c>
      <c r="P166" s="32" t="s">
        <v>904</v>
      </c>
      <c r="Q166" s="31">
        <f>203.9</f>
        <v>203.9</v>
      </c>
      <c r="R166" s="32" t="s">
        <v>818</v>
      </c>
      <c r="S166" s="33">
        <f>207.24</f>
        <v>207.24</v>
      </c>
      <c r="T166" s="30">
        <f>170500</f>
        <v>170500</v>
      </c>
      <c r="U166" s="30" t="str">
        <f t="shared" si="4"/>
        <v>－</v>
      </c>
      <c r="V166" s="30">
        <f>35542930</f>
        <v>35542930</v>
      </c>
      <c r="W166" s="30" t="str">
        <f t="shared" si="5"/>
        <v>－</v>
      </c>
      <c r="X166" s="34">
        <f>22</f>
        <v>22</v>
      </c>
    </row>
    <row r="167" spans="1:24" x14ac:dyDescent="0.15">
      <c r="A167" s="25" t="s">
        <v>1006</v>
      </c>
      <c r="B167" s="25" t="s">
        <v>538</v>
      </c>
      <c r="C167" s="25" t="s">
        <v>539</v>
      </c>
      <c r="D167" s="25" t="s">
        <v>540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1683.5</f>
        <v>1683.5</v>
      </c>
      <c r="L167" s="32" t="s">
        <v>904</v>
      </c>
      <c r="M167" s="31">
        <f>1800</f>
        <v>1800</v>
      </c>
      <c r="N167" s="32" t="s">
        <v>934</v>
      </c>
      <c r="O167" s="31">
        <f>1586.5</f>
        <v>1586.5</v>
      </c>
      <c r="P167" s="32" t="s">
        <v>810</v>
      </c>
      <c r="Q167" s="31">
        <f>1755</f>
        <v>1755</v>
      </c>
      <c r="R167" s="32" t="s">
        <v>818</v>
      </c>
      <c r="S167" s="33">
        <f>1685.89</f>
        <v>1685.89</v>
      </c>
      <c r="T167" s="30">
        <f>6740</f>
        <v>6740</v>
      </c>
      <c r="U167" s="30" t="str">
        <f t="shared" si="4"/>
        <v>－</v>
      </c>
      <c r="V167" s="30">
        <f>11548570</f>
        <v>11548570</v>
      </c>
      <c r="W167" s="30" t="str">
        <f t="shared" si="5"/>
        <v>－</v>
      </c>
      <c r="X167" s="34">
        <f>22</f>
        <v>22</v>
      </c>
    </row>
    <row r="168" spans="1:24" x14ac:dyDescent="0.15">
      <c r="A168" s="25" t="s">
        <v>1006</v>
      </c>
      <c r="B168" s="25" t="s">
        <v>541</v>
      </c>
      <c r="C168" s="25" t="s">
        <v>542</v>
      </c>
      <c r="D168" s="25" t="s">
        <v>543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750.1</f>
        <v>750.1</v>
      </c>
      <c r="L168" s="32" t="s">
        <v>904</v>
      </c>
      <c r="M168" s="31">
        <f>845.4</f>
        <v>845.4</v>
      </c>
      <c r="N168" s="32" t="s">
        <v>934</v>
      </c>
      <c r="O168" s="31">
        <f>709.4</f>
        <v>709.4</v>
      </c>
      <c r="P168" s="32" t="s">
        <v>810</v>
      </c>
      <c r="Q168" s="31">
        <f>817.7</f>
        <v>817.7</v>
      </c>
      <c r="R168" s="32" t="s">
        <v>818</v>
      </c>
      <c r="S168" s="33">
        <f>771.86</f>
        <v>771.86</v>
      </c>
      <c r="T168" s="30">
        <f>74780</f>
        <v>74780</v>
      </c>
      <c r="U168" s="30" t="str">
        <f t="shared" si="4"/>
        <v>－</v>
      </c>
      <c r="V168" s="30">
        <f>58967189</f>
        <v>58967189</v>
      </c>
      <c r="W168" s="30" t="str">
        <f t="shared" si="5"/>
        <v>－</v>
      </c>
      <c r="X168" s="34">
        <f>22</f>
        <v>22</v>
      </c>
    </row>
    <row r="169" spans="1:24" x14ac:dyDescent="0.15">
      <c r="A169" s="25" t="s">
        <v>1006</v>
      </c>
      <c r="B169" s="25" t="s">
        <v>544</v>
      </c>
      <c r="C169" s="25" t="s">
        <v>545</v>
      </c>
      <c r="D169" s="25" t="s">
        <v>546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2055.5</f>
        <v>2055.5</v>
      </c>
      <c r="L169" s="32" t="s">
        <v>904</v>
      </c>
      <c r="M169" s="31">
        <f>2176</f>
        <v>2176</v>
      </c>
      <c r="N169" s="32" t="s">
        <v>813</v>
      </c>
      <c r="O169" s="31">
        <f>1980</f>
        <v>1980</v>
      </c>
      <c r="P169" s="32" t="s">
        <v>909</v>
      </c>
      <c r="Q169" s="31">
        <f>2100.5</f>
        <v>2100.5</v>
      </c>
      <c r="R169" s="32" t="s">
        <v>818</v>
      </c>
      <c r="S169" s="33">
        <f>2065.59</f>
        <v>2065.59</v>
      </c>
      <c r="T169" s="30">
        <f>5340</f>
        <v>5340</v>
      </c>
      <c r="U169" s="30" t="str">
        <f t="shared" si="4"/>
        <v>－</v>
      </c>
      <c r="V169" s="30">
        <f>11102510</f>
        <v>11102510</v>
      </c>
      <c r="W169" s="30" t="str">
        <f t="shared" si="5"/>
        <v>－</v>
      </c>
      <c r="X169" s="34">
        <f>22</f>
        <v>22</v>
      </c>
    </row>
    <row r="170" spans="1:24" x14ac:dyDescent="0.15">
      <c r="A170" s="25" t="s">
        <v>1006</v>
      </c>
      <c r="B170" s="25" t="s">
        <v>547</v>
      </c>
      <c r="C170" s="25" t="s">
        <v>548</v>
      </c>
      <c r="D170" s="25" t="s">
        <v>549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863.7</f>
        <v>863.7</v>
      </c>
      <c r="L170" s="32" t="s">
        <v>904</v>
      </c>
      <c r="M170" s="31">
        <f>946.8</f>
        <v>946.8</v>
      </c>
      <c r="N170" s="32" t="s">
        <v>934</v>
      </c>
      <c r="O170" s="31">
        <f>819</f>
        <v>819</v>
      </c>
      <c r="P170" s="32" t="s">
        <v>909</v>
      </c>
      <c r="Q170" s="31">
        <f>937.9</f>
        <v>937.9</v>
      </c>
      <c r="R170" s="32" t="s">
        <v>818</v>
      </c>
      <c r="S170" s="33">
        <f>879.4</f>
        <v>879.4</v>
      </c>
      <c r="T170" s="30">
        <f>143270</f>
        <v>143270</v>
      </c>
      <c r="U170" s="30" t="str">
        <f t="shared" si="4"/>
        <v>－</v>
      </c>
      <c r="V170" s="30">
        <f>127957145</f>
        <v>127957145</v>
      </c>
      <c r="W170" s="30" t="str">
        <f t="shared" si="5"/>
        <v>－</v>
      </c>
      <c r="X170" s="34">
        <f>22</f>
        <v>22</v>
      </c>
    </row>
    <row r="171" spans="1:24" x14ac:dyDescent="0.15">
      <c r="A171" s="25" t="s">
        <v>1006</v>
      </c>
      <c r="B171" s="25" t="s">
        <v>550</v>
      </c>
      <c r="C171" s="25" t="s">
        <v>551</v>
      </c>
      <c r="D171" s="25" t="s">
        <v>552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629.2</f>
        <v>629.20000000000005</v>
      </c>
      <c r="L171" s="32" t="s">
        <v>904</v>
      </c>
      <c r="M171" s="31">
        <f>683.4</f>
        <v>683.4</v>
      </c>
      <c r="N171" s="32" t="s">
        <v>934</v>
      </c>
      <c r="O171" s="31">
        <f>594.2</f>
        <v>594.20000000000005</v>
      </c>
      <c r="P171" s="32" t="s">
        <v>909</v>
      </c>
      <c r="Q171" s="31">
        <f>673</f>
        <v>673</v>
      </c>
      <c r="R171" s="32" t="s">
        <v>818</v>
      </c>
      <c r="S171" s="33">
        <f>633.87</f>
        <v>633.87</v>
      </c>
      <c r="T171" s="30">
        <f>437880</f>
        <v>437880</v>
      </c>
      <c r="U171" s="30" t="str">
        <f t="shared" si="4"/>
        <v>－</v>
      </c>
      <c r="V171" s="30">
        <f>279366450</f>
        <v>279366450</v>
      </c>
      <c r="W171" s="30" t="str">
        <f t="shared" si="5"/>
        <v>－</v>
      </c>
      <c r="X171" s="34">
        <f>22</f>
        <v>22</v>
      </c>
    </row>
    <row r="172" spans="1:24" x14ac:dyDescent="0.15">
      <c r="A172" s="25" t="s">
        <v>1006</v>
      </c>
      <c r="B172" s="25" t="s">
        <v>553</v>
      </c>
      <c r="C172" s="25" t="s">
        <v>554</v>
      </c>
      <c r="D172" s="25" t="s">
        <v>555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100</v>
      </c>
      <c r="K172" s="31">
        <f>4.3</f>
        <v>4.3</v>
      </c>
      <c r="L172" s="32" t="s">
        <v>904</v>
      </c>
      <c r="M172" s="31">
        <f>5.6</f>
        <v>5.6</v>
      </c>
      <c r="N172" s="32" t="s">
        <v>935</v>
      </c>
      <c r="O172" s="31">
        <f>4.2</f>
        <v>4.2</v>
      </c>
      <c r="P172" s="32" t="s">
        <v>907</v>
      </c>
      <c r="Q172" s="31">
        <f>5.3</f>
        <v>5.3</v>
      </c>
      <c r="R172" s="32" t="s">
        <v>818</v>
      </c>
      <c r="S172" s="33">
        <f>4.88</f>
        <v>4.88</v>
      </c>
      <c r="T172" s="30">
        <f>560281500</f>
        <v>560281500</v>
      </c>
      <c r="U172" s="30">
        <f>150000</f>
        <v>150000</v>
      </c>
      <c r="V172" s="30">
        <f>2776436870</f>
        <v>2776436870</v>
      </c>
      <c r="W172" s="30">
        <f>825000</f>
        <v>825000</v>
      </c>
      <c r="X172" s="34">
        <f>22</f>
        <v>22</v>
      </c>
    </row>
    <row r="173" spans="1:24" x14ac:dyDescent="0.15">
      <c r="A173" s="25" t="s">
        <v>1006</v>
      </c>
      <c r="B173" s="25" t="s">
        <v>556</v>
      </c>
      <c r="C173" s="25" t="s">
        <v>557</v>
      </c>
      <c r="D173" s="25" t="s">
        <v>558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1385</f>
        <v>1385</v>
      </c>
      <c r="L173" s="32" t="s">
        <v>904</v>
      </c>
      <c r="M173" s="31">
        <f>1451</f>
        <v>1451</v>
      </c>
      <c r="N173" s="32" t="s">
        <v>934</v>
      </c>
      <c r="O173" s="31">
        <f>1254.5</f>
        <v>1254.5</v>
      </c>
      <c r="P173" s="32" t="s">
        <v>810</v>
      </c>
      <c r="Q173" s="31">
        <f>1392</f>
        <v>1392</v>
      </c>
      <c r="R173" s="32" t="s">
        <v>818</v>
      </c>
      <c r="S173" s="33">
        <f>1340.59</f>
        <v>1340.59</v>
      </c>
      <c r="T173" s="30">
        <f>335960</f>
        <v>335960</v>
      </c>
      <c r="U173" s="30" t="str">
        <f t="shared" ref="U173:U180" si="6">"－"</f>
        <v>－</v>
      </c>
      <c r="V173" s="30">
        <f>447878275</f>
        <v>447878275</v>
      </c>
      <c r="W173" s="30" t="str">
        <f t="shared" ref="W173:W180" si="7">"－"</f>
        <v>－</v>
      </c>
      <c r="X173" s="34">
        <f>22</f>
        <v>22</v>
      </c>
    </row>
    <row r="174" spans="1:24" x14ac:dyDescent="0.15">
      <c r="A174" s="25" t="s">
        <v>1006</v>
      </c>
      <c r="B174" s="25" t="s">
        <v>559</v>
      </c>
      <c r="C174" s="25" t="s">
        <v>560</v>
      </c>
      <c r="D174" s="25" t="s">
        <v>561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</v>
      </c>
      <c r="K174" s="31">
        <f>6379</f>
        <v>6379</v>
      </c>
      <c r="L174" s="32" t="s">
        <v>904</v>
      </c>
      <c r="M174" s="31">
        <f>6478</f>
        <v>6478</v>
      </c>
      <c r="N174" s="32" t="s">
        <v>936</v>
      </c>
      <c r="O174" s="31">
        <f>5617</f>
        <v>5617</v>
      </c>
      <c r="P174" s="32" t="s">
        <v>810</v>
      </c>
      <c r="Q174" s="31">
        <f>6105</f>
        <v>6105</v>
      </c>
      <c r="R174" s="32" t="s">
        <v>818</v>
      </c>
      <c r="S174" s="33">
        <f>6166.45</f>
        <v>6166.45</v>
      </c>
      <c r="T174" s="30">
        <f>3902</f>
        <v>3902</v>
      </c>
      <c r="U174" s="30" t="str">
        <f t="shared" si="6"/>
        <v>－</v>
      </c>
      <c r="V174" s="30">
        <f>24122375</f>
        <v>24122375</v>
      </c>
      <c r="W174" s="30" t="str">
        <f t="shared" si="7"/>
        <v>－</v>
      </c>
      <c r="X174" s="34">
        <f>22</f>
        <v>22</v>
      </c>
    </row>
    <row r="175" spans="1:24" x14ac:dyDescent="0.15">
      <c r="A175" s="25" t="s">
        <v>1006</v>
      </c>
      <c r="B175" s="25" t="s">
        <v>562</v>
      </c>
      <c r="C175" s="25" t="s">
        <v>563</v>
      </c>
      <c r="D175" s="25" t="s">
        <v>564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455.3</f>
        <v>455.3</v>
      </c>
      <c r="L175" s="32" t="s">
        <v>904</v>
      </c>
      <c r="M175" s="31">
        <f>479.8</f>
        <v>479.8</v>
      </c>
      <c r="N175" s="32" t="s">
        <v>934</v>
      </c>
      <c r="O175" s="31">
        <f>437.3</f>
        <v>437.3</v>
      </c>
      <c r="P175" s="32" t="s">
        <v>909</v>
      </c>
      <c r="Q175" s="31">
        <f>463</f>
        <v>463</v>
      </c>
      <c r="R175" s="32" t="s">
        <v>818</v>
      </c>
      <c r="S175" s="33">
        <f>454.85</f>
        <v>454.85</v>
      </c>
      <c r="T175" s="30">
        <f>145100</f>
        <v>145100</v>
      </c>
      <c r="U175" s="30" t="str">
        <f t="shared" si="6"/>
        <v>－</v>
      </c>
      <c r="V175" s="30">
        <f>66459870</f>
        <v>66459870</v>
      </c>
      <c r="W175" s="30" t="str">
        <f t="shared" si="7"/>
        <v>－</v>
      </c>
      <c r="X175" s="34">
        <f>22</f>
        <v>22</v>
      </c>
    </row>
    <row r="176" spans="1:24" x14ac:dyDescent="0.15">
      <c r="A176" s="25" t="s">
        <v>1006</v>
      </c>
      <c r="B176" s="25" t="s">
        <v>565</v>
      </c>
      <c r="C176" s="25" t="s">
        <v>566</v>
      </c>
      <c r="D176" s="25" t="s">
        <v>567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4188</f>
        <v>4188</v>
      </c>
      <c r="L176" s="32" t="s">
        <v>904</v>
      </c>
      <c r="M176" s="31">
        <f>4496</f>
        <v>4496</v>
      </c>
      <c r="N176" s="32" t="s">
        <v>936</v>
      </c>
      <c r="O176" s="31">
        <f>4041</f>
        <v>4041</v>
      </c>
      <c r="P176" s="32" t="s">
        <v>909</v>
      </c>
      <c r="Q176" s="31">
        <f>4318</f>
        <v>4318</v>
      </c>
      <c r="R176" s="32" t="s">
        <v>818</v>
      </c>
      <c r="S176" s="33">
        <f>4277.82</f>
        <v>4277.82</v>
      </c>
      <c r="T176" s="30">
        <f>67870</f>
        <v>67870</v>
      </c>
      <c r="U176" s="30" t="str">
        <f t="shared" si="6"/>
        <v>－</v>
      </c>
      <c r="V176" s="30">
        <f>290891600</f>
        <v>290891600</v>
      </c>
      <c r="W176" s="30" t="str">
        <f t="shared" si="7"/>
        <v>－</v>
      </c>
      <c r="X176" s="34">
        <f>22</f>
        <v>22</v>
      </c>
    </row>
    <row r="177" spans="1:24" x14ac:dyDescent="0.15">
      <c r="A177" s="25" t="s">
        <v>1006</v>
      </c>
      <c r="B177" s="25" t="s">
        <v>568</v>
      </c>
      <c r="C177" s="25" t="s">
        <v>569</v>
      </c>
      <c r="D177" s="25" t="s">
        <v>570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2899</f>
        <v>2899</v>
      </c>
      <c r="L177" s="32" t="s">
        <v>904</v>
      </c>
      <c r="M177" s="31">
        <f>2954.5</f>
        <v>2954.5</v>
      </c>
      <c r="N177" s="32" t="s">
        <v>909</v>
      </c>
      <c r="O177" s="31">
        <f>2702.5</f>
        <v>2702.5</v>
      </c>
      <c r="P177" s="32" t="s">
        <v>905</v>
      </c>
      <c r="Q177" s="31">
        <f>2814</f>
        <v>2814</v>
      </c>
      <c r="R177" s="32" t="s">
        <v>818</v>
      </c>
      <c r="S177" s="33">
        <f>2815.59</f>
        <v>2815.59</v>
      </c>
      <c r="T177" s="30">
        <f>19430</f>
        <v>19430</v>
      </c>
      <c r="U177" s="30" t="str">
        <f t="shared" si="6"/>
        <v>－</v>
      </c>
      <c r="V177" s="30">
        <f>55132365</f>
        <v>55132365</v>
      </c>
      <c r="W177" s="30" t="str">
        <f t="shared" si="7"/>
        <v>－</v>
      </c>
      <c r="X177" s="34">
        <f>22</f>
        <v>22</v>
      </c>
    </row>
    <row r="178" spans="1:24" x14ac:dyDescent="0.15">
      <c r="A178" s="25" t="s">
        <v>1006</v>
      </c>
      <c r="B178" s="25" t="s">
        <v>571</v>
      </c>
      <c r="C178" s="25" t="s">
        <v>572</v>
      </c>
      <c r="D178" s="25" t="s">
        <v>573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114.7</f>
        <v>114.7</v>
      </c>
      <c r="L178" s="32" t="s">
        <v>904</v>
      </c>
      <c r="M178" s="31">
        <f>118.6</f>
        <v>118.6</v>
      </c>
      <c r="N178" s="32" t="s">
        <v>934</v>
      </c>
      <c r="O178" s="31">
        <f>102.6</f>
        <v>102.6</v>
      </c>
      <c r="P178" s="32" t="s">
        <v>816</v>
      </c>
      <c r="Q178" s="31">
        <f>115.2</f>
        <v>115.2</v>
      </c>
      <c r="R178" s="32" t="s">
        <v>818</v>
      </c>
      <c r="S178" s="33">
        <f>109.17</f>
        <v>109.17</v>
      </c>
      <c r="T178" s="30">
        <f>17876800</f>
        <v>17876800</v>
      </c>
      <c r="U178" s="30" t="str">
        <f t="shared" si="6"/>
        <v>－</v>
      </c>
      <c r="V178" s="30">
        <f>1955388260</f>
        <v>1955388260</v>
      </c>
      <c r="W178" s="30" t="str">
        <f t="shared" si="7"/>
        <v>－</v>
      </c>
      <c r="X178" s="34">
        <f>22</f>
        <v>22</v>
      </c>
    </row>
    <row r="179" spans="1:24" x14ac:dyDescent="0.15">
      <c r="A179" s="25" t="s">
        <v>1006</v>
      </c>
      <c r="B179" s="25" t="s">
        <v>574</v>
      </c>
      <c r="C179" s="25" t="s">
        <v>575</v>
      </c>
      <c r="D179" s="25" t="s">
        <v>576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163.7</f>
        <v>163.69999999999999</v>
      </c>
      <c r="L179" s="32" t="s">
        <v>904</v>
      </c>
      <c r="M179" s="31">
        <f>188.3</f>
        <v>188.3</v>
      </c>
      <c r="N179" s="32" t="s">
        <v>934</v>
      </c>
      <c r="O179" s="31">
        <f>154.6</f>
        <v>154.6</v>
      </c>
      <c r="P179" s="32" t="s">
        <v>909</v>
      </c>
      <c r="Q179" s="31">
        <f>186.5</f>
        <v>186.5</v>
      </c>
      <c r="R179" s="32" t="s">
        <v>818</v>
      </c>
      <c r="S179" s="33">
        <f>168.97</f>
        <v>168.97</v>
      </c>
      <c r="T179" s="30">
        <f>1694300</f>
        <v>1694300</v>
      </c>
      <c r="U179" s="30" t="str">
        <f t="shared" si="6"/>
        <v>－</v>
      </c>
      <c r="V179" s="30">
        <f>291605170</f>
        <v>291605170</v>
      </c>
      <c r="W179" s="30" t="str">
        <f t="shared" si="7"/>
        <v>－</v>
      </c>
      <c r="X179" s="34">
        <f>22</f>
        <v>22</v>
      </c>
    </row>
    <row r="180" spans="1:24" x14ac:dyDescent="0.15">
      <c r="A180" s="25" t="s">
        <v>1006</v>
      </c>
      <c r="B180" s="25" t="s">
        <v>577</v>
      </c>
      <c r="C180" s="25" t="s">
        <v>578</v>
      </c>
      <c r="D180" s="25" t="s">
        <v>579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3981</f>
        <v>3981</v>
      </c>
      <c r="L180" s="32" t="s">
        <v>904</v>
      </c>
      <c r="M180" s="31">
        <f>4110</f>
        <v>4110</v>
      </c>
      <c r="N180" s="32" t="s">
        <v>820</v>
      </c>
      <c r="O180" s="31">
        <f>3682</f>
        <v>3682</v>
      </c>
      <c r="P180" s="32" t="s">
        <v>811</v>
      </c>
      <c r="Q180" s="31">
        <f>4036</f>
        <v>4036</v>
      </c>
      <c r="R180" s="32" t="s">
        <v>818</v>
      </c>
      <c r="S180" s="33">
        <f>3909.55</f>
        <v>3909.55</v>
      </c>
      <c r="T180" s="30">
        <f>23080</f>
        <v>23080</v>
      </c>
      <c r="U180" s="30" t="str">
        <f t="shared" si="6"/>
        <v>－</v>
      </c>
      <c r="V180" s="30">
        <f>90748230</f>
        <v>90748230</v>
      </c>
      <c r="W180" s="30" t="str">
        <f t="shared" si="7"/>
        <v>－</v>
      </c>
      <c r="X180" s="34">
        <f>22</f>
        <v>22</v>
      </c>
    </row>
    <row r="181" spans="1:24" x14ac:dyDescent="0.15">
      <c r="A181" s="25" t="s">
        <v>1006</v>
      </c>
      <c r="B181" s="25" t="s">
        <v>580</v>
      </c>
      <c r="C181" s="25" t="s">
        <v>581</v>
      </c>
      <c r="D181" s="25" t="s">
        <v>582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2026.5</f>
        <v>2026.5</v>
      </c>
      <c r="L181" s="32" t="s">
        <v>904</v>
      </c>
      <c r="M181" s="31">
        <f>2079.5</f>
        <v>2079.5</v>
      </c>
      <c r="N181" s="32" t="s">
        <v>812</v>
      </c>
      <c r="O181" s="31">
        <f>1982.5</f>
        <v>1982.5</v>
      </c>
      <c r="P181" s="32" t="s">
        <v>907</v>
      </c>
      <c r="Q181" s="31">
        <f>2049</f>
        <v>2049</v>
      </c>
      <c r="R181" s="32" t="s">
        <v>818</v>
      </c>
      <c r="S181" s="33">
        <f>2038</f>
        <v>2038</v>
      </c>
      <c r="T181" s="30">
        <f>319680</f>
        <v>319680</v>
      </c>
      <c r="U181" s="30">
        <f>295080</f>
        <v>295080</v>
      </c>
      <c r="V181" s="30">
        <f>655721910</f>
        <v>655721910</v>
      </c>
      <c r="W181" s="30">
        <f>605535845</f>
        <v>605535845</v>
      </c>
      <c r="X181" s="34">
        <f>22</f>
        <v>22</v>
      </c>
    </row>
    <row r="182" spans="1:24" x14ac:dyDescent="0.15">
      <c r="A182" s="25" t="s">
        <v>1006</v>
      </c>
      <c r="B182" s="25" t="s">
        <v>583</v>
      </c>
      <c r="C182" s="25" t="s">
        <v>584</v>
      </c>
      <c r="D182" s="25" t="s">
        <v>585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372.5</f>
        <v>372.5</v>
      </c>
      <c r="L182" s="32" t="s">
        <v>904</v>
      </c>
      <c r="M182" s="31">
        <f>392.7</f>
        <v>392.7</v>
      </c>
      <c r="N182" s="32" t="s">
        <v>934</v>
      </c>
      <c r="O182" s="31">
        <f>340.1</f>
        <v>340.1</v>
      </c>
      <c r="P182" s="32" t="s">
        <v>810</v>
      </c>
      <c r="Q182" s="31">
        <f>379.1</f>
        <v>379.1</v>
      </c>
      <c r="R182" s="32" t="s">
        <v>818</v>
      </c>
      <c r="S182" s="33">
        <f>364.06</f>
        <v>364.06</v>
      </c>
      <c r="T182" s="30">
        <f>44230850</f>
        <v>44230850</v>
      </c>
      <c r="U182" s="30">
        <f>105710</f>
        <v>105710</v>
      </c>
      <c r="V182" s="30">
        <f>16029463803</f>
        <v>16029463803</v>
      </c>
      <c r="W182" s="30">
        <f>37790599</f>
        <v>37790599</v>
      </c>
      <c r="X182" s="34">
        <f>22</f>
        <v>22</v>
      </c>
    </row>
    <row r="183" spans="1:24" x14ac:dyDescent="0.15">
      <c r="A183" s="25" t="s">
        <v>1006</v>
      </c>
      <c r="B183" s="25" t="s">
        <v>586</v>
      </c>
      <c r="C183" s="25" t="s">
        <v>587</v>
      </c>
      <c r="D183" s="25" t="s">
        <v>588</v>
      </c>
      <c r="E183" s="26" t="s">
        <v>45</v>
      </c>
      <c r="F183" s="27" t="s">
        <v>45</v>
      </c>
      <c r="G183" s="28" t="s">
        <v>45</v>
      </c>
      <c r="H183" s="29"/>
      <c r="I183" s="29" t="s">
        <v>589</v>
      </c>
      <c r="J183" s="30">
        <v>1</v>
      </c>
      <c r="K183" s="31">
        <f>6451</f>
        <v>6451</v>
      </c>
      <c r="L183" s="32" t="s">
        <v>904</v>
      </c>
      <c r="M183" s="31">
        <f>6587</f>
        <v>6587</v>
      </c>
      <c r="N183" s="32" t="s">
        <v>810</v>
      </c>
      <c r="O183" s="31">
        <f>5955</f>
        <v>5955</v>
      </c>
      <c r="P183" s="32" t="s">
        <v>820</v>
      </c>
      <c r="Q183" s="31">
        <f>6444</f>
        <v>6444</v>
      </c>
      <c r="R183" s="32" t="s">
        <v>818</v>
      </c>
      <c r="S183" s="33">
        <f>6333.82</f>
        <v>6333.82</v>
      </c>
      <c r="T183" s="30">
        <f>44643</f>
        <v>44643</v>
      </c>
      <c r="U183" s="30" t="str">
        <f t="shared" ref="U183:U188" si="8">"－"</f>
        <v>－</v>
      </c>
      <c r="V183" s="30">
        <f>280096848</f>
        <v>280096848</v>
      </c>
      <c r="W183" s="30" t="str">
        <f t="shared" ref="W183:W188" si="9">"－"</f>
        <v>－</v>
      </c>
      <c r="X183" s="34">
        <f>22</f>
        <v>22</v>
      </c>
    </row>
    <row r="184" spans="1:24" x14ac:dyDescent="0.15">
      <c r="A184" s="25" t="s">
        <v>1006</v>
      </c>
      <c r="B184" s="25" t="s">
        <v>590</v>
      </c>
      <c r="C184" s="25" t="s">
        <v>591</v>
      </c>
      <c r="D184" s="25" t="s">
        <v>592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7998</f>
        <v>7998</v>
      </c>
      <c r="L184" s="32" t="s">
        <v>904</v>
      </c>
      <c r="M184" s="31">
        <f>8499</f>
        <v>8499</v>
      </c>
      <c r="N184" s="32" t="s">
        <v>815</v>
      </c>
      <c r="O184" s="31">
        <f>7711</f>
        <v>7711</v>
      </c>
      <c r="P184" s="32" t="s">
        <v>810</v>
      </c>
      <c r="Q184" s="31">
        <f>8201</f>
        <v>8201</v>
      </c>
      <c r="R184" s="32" t="s">
        <v>818</v>
      </c>
      <c r="S184" s="33">
        <f>8061.3</f>
        <v>8061.3</v>
      </c>
      <c r="T184" s="30">
        <f>3892</f>
        <v>3892</v>
      </c>
      <c r="U184" s="30" t="str">
        <f t="shared" si="8"/>
        <v>－</v>
      </c>
      <c r="V184" s="30">
        <f>31487921</f>
        <v>31487921</v>
      </c>
      <c r="W184" s="30" t="str">
        <f t="shared" si="9"/>
        <v>－</v>
      </c>
      <c r="X184" s="34">
        <f>20</f>
        <v>20</v>
      </c>
    </row>
    <row r="185" spans="1:24" x14ac:dyDescent="0.15">
      <c r="A185" s="25" t="s">
        <v>1006</v>
      </c>
      <c r="B185" s="25" t="s">
        <v>593</v>
      </c>
      <c r="C185" s="25" t="s">
        <v>594</v>
      </c>
      <c r="D185" s="25" t="s">
        <v>595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11415</f>
        <v>11415</v>
      </c>
      <c r="L185" s="32" t="s">
        <v>904</v>
      </c>
      <c r="M185" s="31">
        <f>12140</f>
        <v>12140</v>
      </c>
      <c r="N185" s="32" t="s">
        <v>819</v>
      </c>
      <c r="O185" s="31">
        <f>10710</f>
        <v>10710</v>
      </c>
      <c r="P185" s="32" t="s">
        <v>936</v>
      </c>
      <c r="Q185" s="31">
        <f>10935</f>
        <v>10935</v>
      </c>
      <c r="R185" s="32" t="s">
        <v>818</v>
      </c>
      <c r="S185" s="33">
        <f>11458.86</f>
        <v>11458.86</v>
      </c>
      <c r="T185" s="30">
        <f>597</f>
        <v>597</v>
      </c>
      <c r="U185" s="30" t="str">
        <f t="shared" si="8"/>
        <v>－</v>
      </c>
      <c r="V185" s="30">
        <f>6940195</f>
        <v>6940195</v>
      </c>
      <c r="W185" s="30" t="str">
        <f t="shared" si="9"/>
        <v>－</v>
      </c>
      <c r="X185" s="34">
        <f>22</f>
        <v>22</v>
      </c>
    </row>
    <row r="186" spans="1:24" x14ac:dyDescent="0.15">
      <c r="A186" s="25" t="s">
        <v>1006</v>
      </c>
      <c r="B186" s="25" t="s">
        <v>596</v>
      </c>
      <c r="C186" s="25" t="s">
        <v>597</v>
      </c>
      <c r="D186" s="25" t="s">
        <v>598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7800</f>
        <v>7800</v>
      </c>
      <c r="L186" s="32" t="s">
        <v>904</v>
      </c>
      <c r="M186" s="31">
        <f>8106</f>
        <v>8106</v>
      </c>
      <c r="N186" s="32" t="s">
        <v>936</v>
      </c>
      <c r="O186" s="31">
        <f>7553</f>
        <v>7553</v>
      </c>
      <c r="P186" s="32" t="s">
        <v>906</v>
      </c>
      <c r="Q186" s="31">
        <f>7951</f>
        <v>7951</v>
      </c>
      <c r="R186" s="32" t="s">
        <v>818</v>
      </c>
      <c r="S186" s="33">
        <f>7808.45</f>
        <v>7808.45</v>
      </c>
      <c r="T186" s="30">
        <f>14378</f>
        <v>14378</v>
      </c>
      <c r="U186" s="30" t="str">
        <f t="shared" si="8"/>
        <v>－</v>
      </c>
      <c r="V186" s="30">
        <f>112469008</f>
        <v>112469008</v>
      </c>
      <c r="W186" s="30" t="str">
        <f t="shared" si="9"/>
        <v>－</v>
      </c>
      <c r="X186" s="34">
        <f>22</f>
        <v>22</v>
      </c>
    </row>
    <row r="187" spans="1:24" x14ac:dyDescent="0.15">
      <c r="A187" s="25" t="s">
        <v>1006</v>
      </c>
      <c r="B187" s="25" t="s">
        <v>602</v>
      </c>
      <c r="C187" s="25" t="s">
        <v>603</v>
      </c>
      <c r="D187" s="25" t="s">
        <v>604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24400</f>
        <v>24400</v>
      </c>
      <c r="L187" s="32" t="s">
        <v>904</v>
      </c>
      <c r="M187" s="31">
        <f>25825</f>
        <v>25825</v>
      </c>
      <c r="N187" s="32" t="s">
        <v>905</v>
      </c>
      <c r="O187" s="31">
        <f>23715</f>
        <v>23715</v>
      </c>
      <c r="P187" s="32" t="s">
        <v>909</v>
      </c>
      <c r="Q187" s="31">
        <f>24730</f>
        <v>24730</v>
      </c>
      <c r="R187" s="32" t="s">
        <v>818</v>
      </c>
      <c r="S187" s="33">
        <f>24824.55</f>
        <v>24824.55</v>
      </c>
      <c r="T187" s="30">
        <f>28961</f>
        <v>28961</v>
      </c>
      <c r="U187" s="30" t="str">
        <f t="shared" si="8"/>
        <v>－</v>
      </c>
      <c r="V187" s="30">
        <f>722591625</f>
        <v>722591625</v>
      </c>
      <c r="W187" s="30" t="str">
        <f t="shared" si="9"/>
        <v>－</v>
      </c>
      <c r="X187" s="34">
        <f>22</f>
        <v>22</v>
      </c>
    </row>
    <row r="188" spans="1:24" x14ac:dyDescent="0.15">
      <c r="A188" s="25" t="s">
        <v>1006</v>
      </c>
      <c r="B188" s="25" t="s">
        <v>605</v>
      </c>
      <c r="C188" s="25" t="s">
        <v>606</v>
      </c>
      <c r="D188" s="25" t="s">
        <v>607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4535</f>
        <v>4535</v>
      </c>
      <c r="L188" s="32" t="s">
        <v>904</v>
      </c>
      <c r="M188" s="31">
        <f>4610</f>
        <v>4610</v>
      </c>
      <c r="N188" s="32" t="s">
        <v>909</v>
      </c>
      <c r="O188" s="31">
        <f>4415</f>
        <v>4415</v>
      </c>
      <c r="P188" s="32" t="s">
        <v>905</v>
      </c>
      <c r="Q188" s="31">
        <f>4470</f>
        <v>4470</v>
      </c>
      <c r="R188" s="32" t="s">
        <v>818</v>
      </c>
      <c r="S188" s="33">
        <f>4492.73</f>
        <v>4492.7299999999996</v>
      </c>
      <c r="T188" s="30">
        <f>5420</f>
        <v>5420</v>
      </c>
      <c r="U188" s="30" t="str">
        <f t="shared" si="8"/>
        <v>－</v>
      </c>
      <c r="V188" s="30">
        <f>24459275</f>
        <v>24459275</v>
      </c>
      <c r="W188" s="30" t="str">
        <f t="shared" si="9"/>
        <v>－</v>
      </c>
      <c r="X188" s="34">
        <f>22</f>
        <v>22</v>
      </c>
    </row>
    <row r="189" spans="1:24" x14ac:dyDescent="0.15">
      <c r="A189" s="25" t="s">
        <v>1006</v>
      </c>
      <c r="B189" s="25" t="s">
        <v>608</v>
      </c>
      <c r="C189" s="25" t="s">
        <v>609</v>
      </c>
      <c r="D189" s="25" t="s">
        <v>610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1640</f>
        <v>1640</v>
      </c>
      <c r="L189" s="32" t="s">
        <v>904</v>
      </c>
      <c r="M189" s="31">
        <f>1780</f>
        <v>1780</v>
      </c>
      <c r="N189" s="32" t="s">
        <v>934</v>
      </c>
      <c r="O189" s="31">
        <f>1385</f>
        <v>1385</v>
      </c>
      <c r="P189" s="32" t="s">
        <v>810</v>
      </c>
      <c r="Q189" s="31">
        <f>1665</f>
        <v>1665</v>
      </c>
      <c r="R189" s="32" t="s">
        <v>818</v>
      </c>
      <c r="S189" s="33">
        <f>1572.59</f>
        <v>1572.59</v>
      </c>
      <c r="T189" s="30">
        <f>59865685</f>
        <v>59865685</v>
      </c>
      <c r="U189" s="30">
        <f>300008</f>
        <v>300008</v>
      </c>
      <c r="V189" s="30">
        <f>93371807236</f>
        <v>93371807236</v>
      </c>
      <c r="W189" s="30">
        <f>540011848</f>
        <v>540011848</v>
      </c>
      <c r="X189" s="34">
        <f>22</f>
        <v>22</v>
      </c>
    </row>
    <row r="190" spans="1:24" x14ac:dyDescent="0.15">
      <c r="A190" s="25" t="s">
        <v>1006</v>
      </c>
      <c r="B190" s="25" t="s">
        <v>611</v>
      </c>
      <c r="C190" s="25" t="s">
        <v>612</v>
      </c>
      <c r="D190" s="25" t="s">
        <v>613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1428</f>
        <v>1428</v>
      </c>
      <c r="L190" s="32" t="s">
        <v>904</v>
      </c>
      <c r="M190" s="31">
        <f>1538</f>
        <v>1538</v>
      </c>
      <c r="N190" s="32" t="s">
        <v>810</v>
      </c>
      <c r="O190" s="31">
        <f>1358</f>
        <v>1358</v>
      </c>
      <c r="P190" s="32" t="s">
        <v>934</v>
      </c>
      <c r="Q190" s="31">
        <f>1395</f>
        <v>1395</v>
      </c>
      <c r="R190" s="32" t="s">
        <v>818</v>
      </c>
      <c r="S190" s="33">
        <f>1445.86</f>
        <v>1445.86</v>
      </c>
      <c r="T190" s="30">
        <f>3855791</f>
        <v>3855791</v>
      </c>
      <c r="U190" s="30">
        <f>1509</f>
        <v>1509</v>
      </c>
      <c r="V190" s="30">
        <f>5570712654</f>
        <v>5570712654</v>
      </c>
      <c r="W190" s="30">
        <f>2131081</f>
        <v>2131081</v>
      </c>
      <c r="X190" s="34">
        <f>22</f>
        <v>22</v>
      </c>
    </row>
    <row r="191" spans="1:24" x14ac:dyDescent="0.15">
      <c r="A191" s="25" t="s">
        <v>1006</v>
      </c>
      <c r="B191" s="25" t="s">
        <v>614</v>
      </c>
      <c r="C191" s="25" t="s">
        <v>615</v>
      </c>
      <c r="D191" s="25" t="s">
        <v>616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25685</f>
        <v>25685</v>
      </c>
      <c r="L191" s="32" t="s">
        <v>904</v>
      </c>
      <c r="M191" s="31">
        <f>28000</f>
        <v>28000</v>
      </c>
      <c r="N191" s="32" t="s">
        <v>819</v>
      </c>
      <c r="O191" s="31">
        <f>24420</f>
        <v>24420</v>
      </c>
      <c r="P191" s="32" t="s">
        <v>818</v>
      </c>
      <c r="Q191" s="31">
        <f>24750</f>
        <v>24750</v>
      </c>
      <c r="R191" s="32" t="s">
        <v>818</v>
      </c>
      <c r="S191" s="33">
        <f>26230.91</f>
        <v>26230.91</v>
      </c>
      <c r="T191" s="30">
        <f>122695</f>
        <v>122695</v>
      </c>
      <c r="U191" s="30">
        <f>3</f>
        <v>3</v>
      </c>
      <c r="V191" s="30">
        <f>3224925300</f>
        <v>3224925300</v>
      </c>
      <c r="W191" s="30">
        <f>82620</f>
        <v>82620</v>
      </c>
      <c r="X191" s="34">
        <f>22</f>
        <v>22</v>
      </c>
    </row>
    <row r="192" spans="1:24" x14ac:dyDescent="0.15">
      <c r="A192" s="25" t="s">
        <v>1006</v>
      </c>
      <c r="B192" s="25" t="s">
        <v>617</v>
      </c>
      <c r="C192" s="25" t="s">
        <v>618</v>
      </c>
      <c r="D192" s="25" t="s">
        <v>619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3040</f>
        <v>3040</v>
      </c>
      <c r="L192" s="32" t="s">
        <v>904</v>
      </c>
      <c r="M192" s="31">
        <f>3130</f>
        <v>3130</v>
      </c>
      <c r="N192" s="32" t="s">
        <v>936</v>
      </c>
      <c r="O192" s="31">
        <f>2908</f>
        <v>2908</v>
      </c>
      <c r="P192" s="32" t="s">
        <v>915</v>
      </c>
      <c r="Q192" s="31">
        <f>3065</f>
        <v>3065</v>
      </c>
      <c r="R192" s="32" t="s">
        <v>818</v>
      </c>
      <c r="S192" s="33">
        <f>3000.45</f>
        <v>3000.45</v>
      </c>
      <c r="T192" s="30">
        <f>559496</f>
        <v>559496</v>
      </c>
      <c r="U192" s="30">
        <f>4</f>
        <v>4</v>
      </c>
      <c r="V192" s="30">
        <f>1687085927</f>
        <v>1687085927</v>
      </c>
      <c r="W192" s="30">
        <f>11985</f>
        <v>11985</v>
      </c>
      <c r="X192" s="34">
        <f>22</f>
        <v>22</v>
      </c>
    </row>
    <row r="193" spans="1:24" x14ac:dyDescent="0.15">
      <c r="A193" s="25" t="s">
        <v>1006</v>
      </c>
      <c r="B193" s="25" t="s">
        <v>620</v>
      </c>
      <c r="C193" s="25" t="s">
        <v>621</v>
      </c>
      <c r="D193" s="25" t="s">
        <v>622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7654</f>
        <v>7654</v>
      </c>
      <c r="L193" s="32" t="s">
        <v>904</v>
      </c>
      <c r="M193" s="31">
        <f>8144</f>
        <v>8144</v>
      </c>
      <c r="N193" s="32" t="s">
        <v>819</v>
      </c>
      <c r="O193" s="31">
        <f>7536</f>
        <v>7536</v>
      </c>
      <c r="P193" s="32" t="s">
        <v>905</v>
      </c>
      <c r="Q193" s="31">
        <f>7885</f>
        <v>7885</v>
      </c>
      <c r="R193" s="32" t="s">
        <v>818</v>
      </c>
      <c r="S193" s="33">
        <f>7826.73</f>
        <v>7826.73</v>
      </c>
      <c r="T193" s="30">
        <f>54778</f>
        <v>54778</v>
      </c>
      <c r="U193" s="30">
        <f>6007</f>
        <v>6007</v>
      </c>
      <c r="V193" s="30">
        <f>429757044</f>
        <v>429757044</v>
      </c>
      <c r="W193" s="30">
        <f>46971702</f>
        <v>46971702</v>
      </c>
      <c r="X193" s="34">
        <f>22</f>
        <v>22</v>
      </c>
    </row>
    <row r="194" spans="1:24" x14ac:dyDescent="0.15">
      <c r="A194" s="25" t="s">
        <v>1006</v>
      </c>
      <c r="B194" s="25" t="s">
        <v>623</v>
      </c>
      <c r="C194" s="25" t="s">
        <v>624</v>
      </c>
      <c r="D194" s="25" t="s">
        <v>625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15085</f>
        <v>15085</v>
      </c>
      <c r="L194" s="32" t="s">
        <v>904</v>
      </c>
      <c r="M194" s="31">
        <f>16555</f>
        <v>16555</v>
      </c>
      <c r="N194" s="32" t="s">
        <v>934</v>
      </c>
      <c r="O194" s="31">
        <f>15085</f>
        <v>15085</v>
      </c>
      <c r="P194" s="32" t="s">
        <v>904</v>
      </c>
      <c r="Q194" s="31">
        <f>16510</f>
        <v>16510</v>
      </c>
      <c r="R194" s="32" t="s">
        <v>818</v>
      </c>
      <c r="S194" s="33">
        <f>16065.33</f>
        <v>16065.33</v>
      </c>
      <c r="T194" s="30">
        <f>153</f>
        <v>153</v>
      </c>
      <c r="U194" s="30" t="str">
        <f>"－"</f>
        <v>－</v>
      </c>
      <c r="V194" s="30">
        <f>2460280</f>
        <v>2460280</v>
      </c>
      <c r="W194" s="30" t="str">
        <f>"－"</f>
        <v>－</v>
      </c>
      <c r="X194" s="34">
        <f>15</f>
        <v>15</v>
      </c>
    </row>
    <row r="195" spans="1:24" x14ac:dyDescent="0.15">
      <c r="A195" s="25" t="s">
        <v>1006</v>
      </c>
      <c r="B195" s="25" t="s">
        <v>626</v>
      </c>
      <c r="C195" s="25" t="s">
        <v>627</v>
      </c>
      <c r="D195" s="25" t="s">
        <v>628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22790</f>
        <v>22790</v>
      </c>
      <c r="L195" s="32" t="s">
        <v>904</v>
      </c>
      <c r="M195" s="31">
        <f>23995</f>
        <v>23995</v>
      </c>
      <c r="N195" s="32" t="s">
        <v>816</v>
      </c>
      <c r="O195" s="31">
        <f>22075</f>
        <v>22075</v>
      </c>
      <c r="P195" s="32" t="s">
        <v>909</v>
      </c>
      <c r="Q195" s="31">
        <f>23275</f>
        <v>23275</v>
      </c>
      <c r="R195" s="32" t="s">
        <v>818</v>
      </c>
      <c r="S195" s="33">
        <f>23274.55</f>
        <v>23274.55</v>
      </c>
      <c r="T195" s="30">
        <f>32937</f>
        <v>32937</v>
      </c>
      <c r="U195" s="30">
        <f>5</f>
        <v>5</v>
      </c>
      <c r="V195" s="30">
        <f>768744140</f>
        <v>768744140</v>
      </c>
      <c r="W195" s="30">
        <f>117085</f>
        <v>117085</v>
      </c>
      <c r="X195" s="34">
        <f>22</f>
        <v>22</v>
      </c>
    </row>
    <row r="196" spans="1:24" x14ac:dyDescent="0.15">
      <c r="A196" s="25" t="s">
        <v>1006</v>
      </c>
      <c r="B196" s="25" t="s">
        <v>629</v>
      </c>
      <c r="C196" s="25" t="s">
        <v>630</v>
      </c>
      <c r="D196" s="25" t="s">
        <v>631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15975</f>
        <v>15975</v>
      </c>
      <c r="L196" s="32" t="s">
        <v>904</v>
      </c>
      <c r="M196" s="31">
        <f>16745</f>
        <v>16745</v>
      </c>
      <c r="N196" s="32" t="s">
        <v>908</v>
      </c>
      <c r="O196" s="31">
        <f>15960</f>
        <v>15960</v>
      </c>
      <c r="P196" s="32" t="s">
        <v>907</v>
      </c>
      <c r="Q196" s="31">
        <f>16245</f>
        <v>16245</v>
      </c>
      <c r="R196" s="32" t="s">
        <v>818</v>
      </c>
      <c r="S196" s="33">
        <f>16264.52</f>
        <v>16264.52</v>
      </c>
      <c r="T196" s="30">
        <f>968</f>
        <v>968</v>
      </c>
      <c r="U196" s="30" t="str">
        <f>"－"</f>
        <v>－</v>
      </c>
      <c r="V196" s="30">
        <f>15762200</f>
        <v>15762200</v>
      </c>
      <c r="W196" s="30" t="str">
        <f>"－"</f>
        <v>－</v>
      </c>
      <c r="X196" s="34">
        <f>21</f>
        <v>21</v>
      </c>
    </row>
    <row r="197" spans="1:24" x14ac:dyDescent="0.15">
      <c r="A197" s="25" t="s">
        <v>1006</v>
      </c>
      <c r="B197" s="25" t="s">
        <v>632</v>
      </c>
      <c r="C197" s="25" t="s">
        <v>633</v>
      </c>
      <c r="D197" s="25" t="s">
        <v>634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17950</f>
        <v>17950</v>
      </c>
      <c r="L197" s="32" t="s">
        <v>904</v>
      </c>
      <c r="M197" s="31">
        <f>19930</f>
        <v>19930</v>
      </c>
      <c r="N197" s="32" t="s">
        <v>816</v>
      </c>
      <c r="O197" s="31">
        <f>17850</f>
        <v>17850</v>
      </c>
      <c r="P197" s="32" t="s">
        <v>909</v>
      </c>
      <c r="Q197" s="31">
        <f>19150</f>
        <v>19150</v>
      </c>
      <c r="R197" s="32" t="s">
        <v>818</v>
      </c>
      <c r="S197" s="33">
        <f>18926.36</f>
        <v>18926.36</v>
      </c>
      <c r="T197" s="30">
        <f>37367</f>
        <v>37367</v>
      </c>
      <c r="U197" s="30">
        <f>4</f>
        <v>4</v>
      </c>
      <c r="V197" s="30">
        <f>706558120</f>
        <v>706558120</v>
      </c>
      <c r="W197" s="30">
        <f>78600</f>
        <v>78600</v>
      </c>
      <c r="X197" s="34">
        <f>22</f>
        <v>22</v>
      </c>
    </row>
    <row r="198" spans="1:24" x14ac:dyDescent="0.15">
      <c r="A198" s="25" t="s">
        <v>1006</v>
      </c>
      <c r="B198" s="25" t="s">
        <v>635</v>
      </c>
      <c r="C198" s="25" t="s">
        <v>636</v>
      </c>
      <c r="D198" s="25" t="s">
        <v>637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4390</f>
        <v>4390</v>
      </c>
      <c r="L198" s="32" t="s">
        <v>904</v>
      </c>
      <c r="M198" s="31">
        <f>4605</f>
        <v>4605</v>
      </c>
      <c r="N198" s="32" t="s">
        <v>936</v>
      </c>
      <c r="O198" s="31">
        <f>4260</f>
        <v>4260</v>
      </c>
      <c r="P198" s="32" t="s">
        <v>816</v>
      </c>
      <c r="Q198" s="31">
        <f>4530</f>
        <v>4530</v>
      </c>
      <c r="R198" s="32" t="s">
        <v>818</v>
      </c>
      <c r="S198" s="33">
        <f>4405.91</f>
        <v>4405.91</v>
      </c>
      <c r="T198" s="30">
        <f>8949</f>
        <v>8949</v>
      </c>
      <c r="U198" s="30" t="str">
        <f t="shared" ref="U198:U209" si="10">"－"</f>
        <v>－</v>
      </c>
      <c r="V198" s="30">
        <f>39455625</f>
        <v>39455625</v>
      </c>
      <c r="W198" s="30" t="str">
        <f t="shared" ref="W198:W209" si="11">"－"</f>
        <v>－</v>
      </c>
      <c r="X198" s="34">
        <f>22</f>
        <v>22</v>
      </c>
    </row>
    <row r="199" spans="1:24" x14ac:dyDescent="0.15">
      <c r="A199" s="25" t="s">
        <v>1006</v>
      </c>
      <c r="B199" s="25" t="s">
        <v>638</v>
      </c>
      <c r="C199" s="25" t="s">
        <v>639</v>
      </c>
      <c r="D199" s="25" t="s">
        <v>640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14815</f>
        <v>14815</v>
      </c>
      <c r="L199" s="32" t="s">
        <v>904</v>
      </c>
      <c r="M199" s="31">
        <f>15655</f>
        <v>15655</v>
      </c>
      <c r="N199" s="32" t="s">
        <v>818</v>
      </c>
      <c r="O199" s="31">
        <f>14440</f>
        <v>14440</v>
      </c>
      <c r="P199" s="32" t="s">
        <v>810</v>
      </c>
      <c r="Q199" s="31">
        <f>15550</f>
        <v>15550</v>
      </c>
      <c r="R199" s="32" t="s">
        <v>818</v>
      </c>
      <c r="S199" s="33">
        <f>15054.25</f>
        <v>15054.25</v>
      </c>
      <c r="T199" s="30">
        <f>1631</f>
        <v>1631</v>
      </c>
      <c r="U199" s="30" t="str">
        <f t="shared" si="10"/>
        <v>－</v>
      </c>
      <c r="V199" s="30">
        <f>24635500</f>
        <v>24635500</v>
      </c>
      <c r="W199" s="30" t="str">
        <f t="shared" si="11"/>
        <v>－</v>
      </c>
      <c r="X199" s="34">
        <f>20</f>
        <v>20</v>
      </c>
    </row>
    <row r="200" spans="1:24" x14ac:dyDescent="0.15">
      <c r="A200" s="25" t="s">
        <v>1006</v>
      </c>
      <c r="B200" s="25" t="s">
        <v>641</v>
      </c>
      <c r="C200" s="25" t="s">
        <v>642</v>
      </c>
      <c r="D200" s="25" t="s">
        <v>643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12635</f>
        <v>12635</v>
      </c>
      <c r="L200" s="32" t="s">
        <v>907</v>
      </c>
      <c r="M200" s="31">
        <f>13050</f>
        <v>13050</v>
      </c>
      <c r="N200" s="32" t="s">
        <v>908</v>
      </c>
      <c r="O200" s="31">
        <f>12635</f>
        <v>12635</v>
      </c>
      <c r="P200" s="32" t="s">
        <v>907</v>
      </c>
      <c r="Q200" s="31">
        <f>13050</f>
        <v>13050</v>
      </c>
      <c r="R200" s="32" t="s">
        <v>908</v>
      </c>
      <c r="S200" s="33">
        <f>12779</f>
        <v>12779</v>
      </c>
      <c r="T200" s="30">
        <f>80</f>
        <v>80</v>
      </c>
      <c r="U200" s="30" t="str">
        <f t="shared" si="10"/>
        <v>－</v>
      </c>
      <c r="V200" s="30">
        <f>1021915</f>
        <v>1021915</v>
      </c>
      <c r="W200" s="30" t="str">
        <f t="shared" si="11"/>
        <v>－</v>
      </c>
      <c r="X200" s="34">
        <f>5</f>
        <v>5</v>
      </c>
    </row>
    <row r="201" spans="1:24" x14ac:dyDescent="0.15">
      <c r="A201" s="25" t="s">
        <v>1006</v>
      </c>
      <c r="B201" s="25" t="s">
        <v>644</v>
      </c>
      <c r="C201" s="25" t="s">
        <v>645</v>
      </c>
      <c r="D201" s="25" t="s">
        <v>646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17005</f>
        <v>17005</v>
      </c>
      <c r="L201" s="32" t="s">
        <v>904</v>
      </c>
      <c r="M201" s="31">
        <f>18165</f>
        <v>18165</v>
      </c>
      <c r="N201" s="32" t="s">
        <v>934</v>
      </c>
      <c r="O201" s="31">
        <f>16900</f>
        <v>16900</v>
      </c>
      <c r="P201" s="32" t="s">
        <v>810</v>
      </c>
      <c r="Q201" s="31">
        <f>18065</f>
        <v>18065</v>
      </c>
      <c r="R201" s="32" t="s">
        <v>818</v>
      </c>
      <c r="S201" s="33">
        <f>17435.31</f>
        <v>17435.310000000001</v>
      </c>
      <c r="T201" s="30">
        <f>314</f>
        <v>314</v>
      </c>
      <c r="U201" s="30" t="str">
        <f t="shared" si="10"/>
        <v>－</v>
      </c>
      <c r="V201" s="30">
        <f>5517100</f>
        <v>5517100</v>
      </c>
      <c r="W201" s="30" t="str">
        <f t="shared" si="11"/>
        <v>－</v>
      </c>
      <c r="X201" s="34">
        <f>16</f>
        <v>16</v>
      </c>
    </row>
    <row r="202" spans="1:24" x14ac:dyDescent="0.15">
      <c r="A202" s="25" t="s">
        <v>1006</v>
      </c>
      <c r="B202" s="25" t="s">
        <v>647</v>
      </c>
      <c r="C202" s="25" t="s">
        <v>648</v>
      </c>
      <c r="D202" s="25" t="s">
        <v>649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17105</f>
        <v>17105</v>
      </c>
      <c r="L202" s="32" t="s">
        <v>911</v>
      </c>
      <c r="M202" s="31">
        <f>17650</f>
        <v>17650</v>
      </c>
      <c r="N202" s="32" t="s">
        <v>818</v>
      </c>
      <c r="O202" s="31">
        <f>16655</f>
        <v>16655</v>
      </c>
      <c r="P202" s="32" t="s">
        <v>915</v>
      </c>
      <c r="Q202" s="31">
        <f>17650</f>
        <v>17650</v>
      </c>
      <c r="R202" s="32" t="s">
        <v>818</v>
      </c>
      <c r="S202" s="33">
        <f>17133.33</f>
        <v>17133.330000000002</v>
      </c>
      <c r="T202" s="30">
        <f>2803</f>
        <v>2803</v>
      </c>
      <c r="U202" s="30" t="str">
        <f t="shared" si="10"/>
        <v>－</v>
      </c>
      <c r="V202" s="30">
        <f>48523005</f>
        <v>48523005</v>
      </c>
      <c r="W202" s="30" t="str">
        <f t="shared" si="11"/>
        <v>－</v>
      </c>
      <c r="X202" s="34">
        <f>6</f>
        <v>6</v>
      </c>
    </row>
    <row r="203" spans="1:24" x14ac:dyDescent="0.15">
      <c r="A203" s="25" t="s">
        <v>1006</v>
      </c>
      <c r="B203" s="25" t="s">
        <v>650</v>
      </c>
      <c r="C203" s="25" t="s">
        <v>651</v>
      </c>
      <c r="D203" s="25" t="s">
        <v>652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13100</f>
        <v>13100</v>
      </c>
      <c r="L203" s="32" t="s">
        <v>904</v>
      </c>
      <c r="M203" s="31">
        <f>13430</f>
        <v>13430</v>
      </c>
      <c r="N203" s="32" t="s">
        <v>812</v>
      </c>
      <c r="O203" s="31">
        <f>13030</f>
        <v>13030</v>
      </c>
      <c r="P203" s="32" t="s">
        <v>810</v>
      </c>
      <c r="Q203" s="31">
        <f>13125</f>
        <v>13125</v>
      </c>
      <c r="R203" s="32" t="s">
        <v>936</v>
      </c>
      <c r="S203" s="33">
        <f>13264.17</f>
        <v>13264.17</v>
      </c>
      <c r="T203" s="30">
        <f>1992</f>
        <v>1992</v>
      </c>
      <c r="U203" s="30" t="str">
        <f t="shared" si="10"/>
        <v>－</v>
      </c>
      <c r="V203" s="30">
        <f>26633715</f>
        <v>26633715</v>
      </c>
      <c r="W203" s="30" t="str">
        <f t="shared" si="11"/>
        <v>－</v>
      </c>
      <c r="X203" s="34">
        <f>12</f>
        <v>12</v>
      </c>
    </row>
    <row r="204" spans="1:24" x14ac:dyDescent="0.15">
      <c r="A204" s="25" t="s">
        <v>1006</v>
      </c>
      <c r="B204" s="25" t="s">
        <v>653</v>
      </c>
      <c r="C204" s="25" t="s">
        <v>654</v>
      </c>
      <c r="D204" s="25" t="s">
        <v>655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15240</f>
        <v>15240</v>
      </c>
      <c r="L204" s="32" t="s">
        <v>820</v>
      </c>
      <c r="M204" s="31">
        <f>15300</f>
        <v>15300</v>
      </c>
      <c r="N204" s="32" t="s">
        <v>820</v>
      </c>
      <c r="O204" s="31">
        <f>15240</f>
        <v>15240</v>
      </c>
      <c r="P204" s="32" t="s">
        <v>820</v>
      </c>
      <c r="Q204" s="31">
        <f>15300</f>
        <v>15300</v>
      </c>
      <c r="R204" s="32" t="s">
        <v>820</v>
      </c>
      <c r="S204" s="33">
        <f>15300</f>
        <v>15300</v>
      </c>
      <c r="T204" s="30">
        <f>99</f>
        <v>99</v>
      </c>
      <c r="U204" s="30" t="str">
        <f t="shared" si="10"/>
        <v>－</v>
      </c>
      <c r="V204" s="30">
        <f>1514160</f>
        <v>1514160</v>
      </c>
      <c r="W204" s="30" t="str">
        <f t="shared" si="11"/>
        <v>－</v>
      </c>
      <c r="X204" s="34">
        <f>1</f>
        <v>1</v>
      </c>
    </row>
    <row r="205" spans="1:24" x14ac:dyDescent="0.15">
      <c r="A205" s="25" t="s">
        <v>1006</v>
      </c>
      <c r="B205" s="25" t="s">
        <v>656</v>
      </c>
      <c r="C205" s="25" t="s">
        <v>657</v>
      </c>
      <c r="D205" s="25" t="s">
        <v>658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 t="str">
        <f>"－"</f>
        <v>－</v>
      </c>
      <c r="L205" s="32"/>
      <c r="M205" s="31" t="str">
        <f>"－"</f>
        <v>－</v>
      </c>
      <c r="N205" s="32"/>
      <c r="O205" s="31" t="str">
        <f>"－"</f>
        <v>－</v>
      </c>
      <c r="P205" s="32"/>
      <c r="Q205" s="31" t="str">
        <f>"－"</f>
        <v>－</v>
      </c>
      <c r="R205" s="32"/>
      <c r="S205" s="33" t="str">
        <f>"－"</f>
        <v>－</v>
      </c>
      <c r="T205" s="30" t="str">
        <f>"－"</f>
        <v>－</v>
      </c>
      <c r="U205" s="30" t="str">
        <f t="shared" si="10"/>
        <v>－</v>
      </c>
      <c r="V205" s="30" t="str">
        <f>"－"</f>
        <v>－</v>
      </c>
      <c r="W205" s="30" t="str">
        <f t="shared" si="11"/>
        <v>－</v>
      </c>
      <c r="X205" s="34" t="str">
        <f>"－"</f>
        <v>－</v>
      </c>
    </row>
    <row r="206" spans="1:24" x14ac:dyDescent="0.15">
      <c r="A206" s="25" t="s">
        <v>1006</v>
      </c>
      <c r="B206" s="25" t="s">
        <v>659</v>
      </c>
      <c r="C206" s="25" t="s">
        <v>660</v>
      </c>
      <c r="D206" s="25" t="s">
        <v>661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9604</f>
        <v>9604</v>
      </c>
      <c r="L206" s="32" t="s">
        <v>909</v>
      </c>
      <c r="M206" s="31">
        <f>9782</f>
        <v>9782</v>
      </c>
      <c r="N206" s="32" t="s">
        <v>915</v>
      </c>
      <c r="O206" s="31">
        <f>9498</f>
        <v>9498</v>
      </c>
      <c r="P206" s="32" t="s">
        <v>811</v>
      </c>
      <c r="Q206" s="31">
        <f>9618</f>
        <v>9618</v>
      </c>
      <c r="R206" s="32" t="s">
        <v>818</v>
      </c>
      <c r="S206" s="33">
        <f>9650.9</f>
        <v>9650.9</v>
      </c>
      <c r="T206" s="30">
        <f>659</f>
        <v>659</v>
      </c>
      <c r="U206" s="30" t="str">
        <f t="shared" si="10"/>
        <v>－</v>
      </c>
      <c r="V206" s="30">
        <f>6313931</f>
        <v>6313931</v>
      </c>
      <c r="W206" s="30" t="str">
        <f t="shared" si="11"/>
        <v>－</v>
      </c>
      <c r="X206" s="34">
        <f>10</f>
        <v>10</v>
      </c>
    </row>
    <row r="207" spans="1:24" x14ac:dyDescent="0.15">
      <c r="A207" s="25" t="s">
        <v>1006</v>
      </c>
      <c r="B207" s="25" t="s">
        <v>662</v>
      </c>
      <c r="C207" s="25" t="s">
        <v>663</v>
      </c>
      <c r="D207" s="25" t="s">
        <v>664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10315</f>
        <v>10315</v>
      </c>
      <c r="L207" s="32" t="s">
        <v>904</v>
      </c>
      <c r="M207" s="31">
        <f>10625</f>
        <v>10625</v>
      </c>
      <c r="N207" s="32" t="s">
        <v>819</v>
      </c>
      <c r="O207" s="31">
        <f>10040</f>
        <v>10040</v>
      </c>
      <c r="P207" s="32" t="s">
        <v>936</v>
      </c>
      <c r="Q207" s="31">
        <f>10090</f>
        <v>10090</v>
      </c>
      <c r="R207" s="32" t="s">
        <v>818</v>
      </c>
      <c r="S207" s="33">
        <f>10373</f>
        <v>10373</v>
      </c>
      <c r="T207" s="30">
        <f>23997</f>
        <v>23997</v>
      </c>
      <c r="U207" s="30" t="str">
        <f t="shared" si="10"/>
        <v>－</v>
      </c>
      <c r="V207" s="30">
        <f>249644210</f>
        <v>249644210</v>
      </c>
      <c r="W207" s="30" t="str">
        <f t="shared" si="11"/>
        <v>－</v>
      </c>
      <c r="X207" s="34">
        <f>20</f>
        <v>20</v>
      </c>
    </row>
    <row r="208" spans="1:24" x14ac:dyDescent="0.15">
      <c r="A208" s="25" t="s">
        <v>1006</v>
      </c>
      <c r="B208" s="25" t="s">
        <v>665</v>
      </c>
      <c r="C208" s="25" t="s">
        <v>666</v>
      </c>
      <c r="D208" s="25" t="s">
        <v>667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9522</f>
        <v>9522</v>
      </c>
      <c r="L208" s="32" t="s">
        <v>904</v>
      </c>
      <c r="M208" s="31">
        <f>9916</f>
        <v>9916</v>
      </c>
      <c r="N208" s="32" t="s">
        <v>816</v>
      </c>
      <c r="O208" s="31">
        <f>9422</f>
        <v>9422</v>
      </c>
      <c r="P208" s="32" t="s">
        <v>912</v>
      </c>
      <c r="Q208" s="31">
        <f>9697</f>
        <v>9697</v>
      </c>
      <c r="R208" s="32" t="s">
        <v>818</v>
      </c>
      <c r="S208" s="33">
        <f>9685.5</f>
        <v>9685.5</v>
      </c>
      <c r="T208" s="30">
        <f>5403</f>
        <v>5403</v>
      </c>
      <c r="U208" s="30" t="str">
        <f t="shared" si="10"/>
        <v>－</v>
      </c>
      <c r="V208" s="30">
        <f>52434782</f>
        <v>52434782</v>
      </c>
      <c r="W208" s="30" t="str">
        <f t="shared" si="11"/>
        <v>－</v>
      </c>
      <c r="X208" s="34">
        <f>12</f>
        <v>12</v>
      </c>
    </row>
    <row r="209" spans="1:24" x14ac:dyDescent="0.15">
      <c r="A209" s="25" t="s">
        <v>1006</v>
      </c>
      <c r="B209" s="25" t="s">
        <v>945</v>
      </c>
      <c r="C209" s="25" t="s">
        <v>946</v>
      </c>
      <c r="D209" s="25" t="s">
        <v>947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10505</f>
        <v>10505</v>
      </c>
      <c r="L209" s="32" t="s">
        <v>906</v>
      </c>
      <c r="M209" s="31">
        <f>10520</f>
        <v>10520</v>
      </c>
      <c r="N209" s="32" t="s">
        <v>935</v>
      </c>
      <c r="O209" s="31">
        <f>10115</f>
        <v>10115</v>
      </c>
      <c r="P209" s="32" t="s">
        <v>818</v>
      </c>
      <c r="Q209" s="31">
        <f>10210</f>
        <v>10210</v>
      </c>
      <c r="R209" s="32" t="s">
        <v>818</v>
      </c>
      <c r="S209" s="33">
        <f>10370.83</f>
        <v>10370.83</v>
      </c>
      <c r="T209" s="30">
        <f>1631</f>
        <v>1631</v>
      </c>
      <c r="U209" s="30" t="str">
        <f t="shared" si="10"/>
        <v>－</v>
      </c>
      <c r="V209" s="30">
        <f>16809865</f>
        <v>16809865</v>
      </c>
      <c r="W209" s="30" t="str">
        <f t="shared" si="11"/>
        <v>－</v>
      </c>
      <c r="X209" s="34">
        <f>6</f>
        <v>6</v>
      </c>
    </row>
    <row r="210" spans="1:24" x14ac:dyDescent="0.15">
      <c r="A210" s="25" t="s">
        <v>1006</v>
      </c>
      <c r="B210" s="25" t="s">
        <v>668</v>
      </c>
      <c r="C210" s="25" t="s">
        <v>669</v>
      </c>
      <c r="D210" s="25" t="s">
        <v>670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967.9</f>
        <v>967.9</v>
      </c>
      <c r="L210" s="32" t="s">
        <v>904</v>
      </c>
      <c r="M210" s="31">
        <f>973.5</f>
        <v>973.5</v>
      </c>
      <c r="N210" s="32" t="s">
        <v>906</v>
      </c>
      <c r="O210" s="31">
        <f>964</f>
        <v>964</v>
      </c>
      <c r="P210" s="32" t="s">
        <v>936</v>
      </c>
      <c r="Q210" s="31">
        <f>966.6</f>
        <v>966.6</v>
      </c>
      <c r="R210" s="32" t="s">
        <v>818</v>
      </c>
      <c r="S210" s="33">
        <f>969</f>
        <v>969</v>
      </c>
      <c r="T210" s="30">
        <f>4521390</f>
        <v>4521390</v>
      </c>
      <c r="U210" s="30">
        <f>2589940</f>
        <v>2589940</v>
      </c>
      <c r="V210" s="30">
        <f>4384499445</f>
        <v>4384499445</v>
      </c>
      <c r="W210" s="30">
        <f>2512796081</f>
        <v>2512796081</v>
      </c>
      <c r="X210" s="34">
        <f>22</f>
        <v>22</v>
      </c>
    </row>
    <row r="211" spans="1:24" x14ac:dyDescent="0.15">
      <c r="A211" s="25" t="s">
        <v>1006</v>
      </c>
      <c r="B211" s="25" t="s">
        <v>671</v>
      </c>
      <c r="C211" s="25" t="s">
        <v>672</v>
      </c>
      <c r="D211" s="25" t="s">
        <v>673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1026.5</f>
        <v>1026.5</v>
      </c>
      <c r="L211" s="32" t="s">
        <v>904</v>
      </c>
      <c r="M211" s="31">
        <f>1038.5</f>
        <v>1038.5</v>
      </c>
      <c r="N211" s="32" t="s">
        <v>911</v>
      </c>
      <c r="O211" s="31">
        <f>1012</f>
        <v>1012</v>
      </c>
      <c r="P211" s="32" t="s">
        <v>815</v>
      </c>
      <c r="Q211" s="31">
        <f>1024.5</f>
        <v>1024.5</v>
      </c>
      <c r="R211" s="32" t="s">
        <v>818</v>
      </c>
      <c r="S211" s="33">
        <f>1024.84</f>
        <v>1024.8399999999999</v>
      </c>
      <c r="T211" s="30">
        <f>3049570</f>
        <v>3049570</v>
      </c>
      <c r="U211" s="30">
        <f>1530880</f>
        <v>1530880</v>
      </c>
      <c r="V211" s="30">
        <f>3123748632</f>
        <v>3123748632</v>
      </c>
      <c r="W211" s="30">
        <f>1569549267</f>
        <v>1569549267</v>
      </c>
      <c r="X211" s="34">
        <f>22</f>
        <v>22</v>
      </c>
    </row>
    <row r="212" spans="1:24" x14ac:dyDescent="0.15">
      <c r="A212" s="25" t="s">
        <v>1006</v>
      </c>
      <c r="B212" s="25" t="s">
        <v>674</v>
      </c>
      <c r="C212" s="25" t="s">
        <v>675</v>
      </c>
      <c r="D212" s="25" t="s">
        <v>676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918.6</f>
        <v>918.6</v>
      </c>
      <c r="L212" s="32" t="s">
        <v>904</v>
      </c>
      <c r="M212" s="31">
        <f>924.3</f>
        <v>924.3</v>
      </c>
      <c r="N212" s="32" t="s">
        <v>909</v>
      </c>
      <c r="O212" s="31">
        <f>881.6</f>
        <v>881.6</v>
      </c>
      <c r="P212" s="32" t="s">
        <v>936</v>
      </c>
      <c r="Q212" s="31">
        <f>883.9</f>
        <v>883.9</v>
      </c>
      <c r="R212" s="32" t="s">
        <v>818</v>
      </c>
      <c r="S212" s="33">
        <f>903.16</f>
        <v>903.16</v>
      </c>
      <c r="T212" s="30">
        <f>12900240</f>
        <v>12900240</v>
      </c>
      <c r="U212" s="30">
        <f>7739280</f>
        <v>7739280</v>
      </c>
      <c r="V212" s="30">
        <f>11633267258</f>
        <v>11633267258</v>
      </c>
      <c r="W212" s="30">
        <f>6962285694</f>
        <v>6962285694</v>
      </c>
      <c r="X212" s="34">
        <f>22</f>
        <v>22</v>
      </c>
    </row>
    <row r="213" spans="1:24" x14ac:dyDescent="0.15">
      <c r="A213" s="25" t="s">
        <v>1006</v>
      </c>
      <c r="B213" s="25" t="s">
        <v>677</v>
      </c>
      <c r="C213" s="25" t="s">
        <v>678</v>
      </c>
      <c r="D213" s="25" t="s">
        <v>679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1672.5</f>
        <v>1672.5</v>
      </c>
      <c r="L213" s="32" t="s">
        <v>904</v>
      </c>
      <c r="M213" s="31">
        <f>1765</f>
        <v>1765</v>
      </c>
      <c r="N213" s="32" t="s">
        <v>816</v>
      </c>
      <c r="O213" s="31">
        <f>1630.5</f>
        <v>1630.5</v>
      </c>
      <c r="P213" s="32" t="s">
        <v>909</v>
      </c>
      <c r="Q213" s="31">
        <f>1691.5</f>
        <v>1691.5</v>
      </c>
      <c r="R213" s="32" t="s">
        <v>818</v>
      </c>
      <c r="S213" s="33">
        <f>1710.09</f>
        <v>1710.09</v>
      </c>
      <c r="T213" s="30">
        <f>1210810</f>
        <v>1210810</v>
      </c>
      <c r="U213" s="30">
        <f>690800</f>
        <v>690800</v>
      </c>
      <c r="V213" s="30">
        <f>2063174893</f>
        <v>2063174893</v>
      </c>
      <c r="W213" s="30">
        <f>1177249108</f>
        <v>1177249108</v>
      </c>
      <c r="X213" s="34">
        <f>22</f>
        <v>22</v>
      </c>
    </row>
    <row r="214" spans="1:24" x14ac:dyDescent="0.15">
      <c r="A214" s="25" t="s">
        <v>1006</v>
      </c>
      <c r="B214" s="25" t="s">
        <v>680</v>
      </c>
      <c r="C214" s="25" t="s">
        <v>681</v>
      </c>
      <c r="D214" s="25" t="s">
        <v>682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1370</f>
        <v>1370</v>
      </c>
      <c r="L214" s="32" t="s">
        <v>904</v>
      </c>
      <c r="M214" s="31">
        <f>1430</f>
        <v>1430</v>
      </c>
      <c r="N214" s="32" t="s">
        <v>819</v>
      </c>
      <c r="O214" s="31">
        <f>1332</f>
        <v>1332</v>
      </c>
      <c r="P214" s="32" t="s">
        <v>818</v>
      </c>
      <c r="Q214" s="31">
        <f>1341.5</f>
        <v>1341.5</v>
      </c>
      <c r="R214" s="32" t="s">
        <v>818</v>
      </c>
      <c r="S214" s="33">
        <f>1385.77</f>
        <v>1385.77</v>
      </c>
      <c r="T214" s="30">
        <f>723920</f>
        <v>723920</v>
      </c>
      <c r="U214" s="30">
        <f>352870</f>
        <v>352870</v>
      </c>
      <c r="V214" s="30">
        <f>1005828323</f>
        <v>1005828323</v>
      </c>
      <c r="W214" s="30">
        <f>489195303</f>
        <v>489195303</v>
      </c>
      <c r="X214" s="34">
        <f>22</f>
        <v>22</v>
      </c>
    </row>
    <row r="215" spans="1:24" x14ac:dyDescent="0.15">
      <c r="A215" s="25" t="s">
        <v>1006</v>
      </c>
      <c r="B215" s="25" t="s">
        <v>683</v>
      </c>
      <c r="C215" s="25" t="s">
        <v>684</v>
      </c>
      <c r="D215" s="25" t="s">
        <v>685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1316</f>
        <v>1316</v>
      </c>
      <c r="L215" s="32" t="s">
        <v>904</v>
      </c>
      <c r="M215" s="31">
        <f>1370</f>
        <v>1370</v>
      </c>
      <c r="N215" s="32" t="s">
        <v>819</v>
      </c>
      <c r="O215" s="31">
        <f>1270.5</f>
        <v>1270.5</v>
      </c>
      <c r="P215" s="32" t="s">
        <v>909</v>
      </c>
      <c r="Q215" s="31">
        <f>1298.5</f>
        <v>1298.5</v>
      </c>
      <c r="R215" s="32" t="s">
        <v>818</v>
      </c>
      <c r="S215" s="33">
        <f>1318.5</f>
        <v>1318.5</v>
      </c>
      <c r="T215" s="30">
        <f>946580</f>
        <v>946580</v>
      </c>
      <c r="U215" s="30">
        <f>375710</f>
        <v>375710</v>
      </c>
      <c r="V215" s="30">
        <f>1243127978</f>
        <v>1243127978</v>
      </c>
      <c r="W215" s="30">
        <f>490007433</f>
        <v>490007433</v>
      </c>
      <c r="X215" s="34">
        <f>22</f>
        <v>22</v>
      </c>
    </row>
    <row r="216" spans="1:24" x14ac:dyDescent="0.15">
      <c r="A216" s="25" t="s">
        <v>1006</v>
      </c>
      <c r="B216" s="25" t="s">
        <v>686</v>
      </c>
      <c r="C216" s="25" t="s">
        <v>687</v>
      </c>
      <c r="D216" s="25" t="s">
        <v>688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552.2</f>
        <v>552.20000000000005</v>
      </c>
      <c r="L216" s="32" t="s">
        <v>904</v>
      </c>
      <c r="M216" s="31">
        <f>588.4</f>
        <v>588.4</v>
      </c>
      <c r="N216" s="32" t="s">
        <v>819</v>
      </c>
      <c r="O216" s="31">
        <f>545</f>
        <v>545</v>
      </c>
      <c r="P216" s="32" t="s">
        <v>905</v>
      </c>
      <c r="Q216" s="31">
        <f>568.1</f>
        <v>568.1</v>
      </c>
      <c r="R216" s="32" t="s">
        <v>818</v>
      </c>
      <c r="S216" s="33">
        <f>564.87</f>
        <v>564.87</v>
      </c>
      <c r="T216" s="30">
        <f>32706240</f>
        <v>32706240</v>
      </c>
      <c r="U216" s="30">
        <f>365730</f>
        <v>365730</v>
      </c>
      <c r="V216" s="30">
        <f>18467397739</f>
        <v>18467397739</v>
      </c>
      <c r="W216" s="30">
        <f>211173697</f>
        <v>211173697</v>
      </c>
      <c r="X216" s="34">
        <f>22</f>
        <v>22</v>
      </c>
    </row>
    <row r="217" spans="1:24" x14ac:dyDescent="0.15">
      <c r="A217" s="25" t="s">
        <v>1006</v>
      </c>
      <c r="B217" s="25" t="s">
        <v>689</v>
      </c>
      <c r="C217" s="25" t="s">
        <v>690</v>
      </c>
      <c r="D217" s="25" t="s">
        <v>691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1193</f>
        <v>1193</v>
      </c>
      <c r="L217" s="32" t="s">
        <v>904</v>
      </c>
      <c r="M217" s="31">
        <f>1203.5</f>
        <v>1203.5</v>
      </c>
      <c r="N217" s="32" t="s">
        <v>909</v>
      </c>
      <c r="O217" s="31">
        <f>1175</f>
        <v>1175</v>
      </c>
      <c r="P217" s="32" t="s">
        <v>905</v>
      </c>
      <c r="Q217" s="31">
        <f>1198.5</f>
        <v>1198.5</v>
      </c>
      <c r="R217" s="32" t="s">
        <v>818</v>
      </c>
      <c r="S217" s="33">
        <f>1188.82</f>
        <v>1188.82</v>
      </c>
      <c r="T217" s="30">
        <f>965410</f>
        <v>965410</v>
      </c>
      <c r="U217" s="30">
        <f>707320</f>
        <v>707320</v>
      </c>
      <c r="V217" s="30">
        <f>1149806101</f>
        <v>1149806101</v>
      </c>
      <c r="W217" s="30">
        <f>842884531</f>
        <v>842884531</v>
      </c>
      <c r="X217" s="34">
        <f>22</f>
        <v>22</v>
      </c>
    </row>
    <row r="218" spans="1:24" x14ac:dyDescent="0.15">
      <c r="A218" s="25" t="s">
        <v>1006</v>
      </c>
      <c r="B218" s="25" t="s">
        <v>692</v>
      </c>
      <c r="C218" s="25" t="s">
        <v>693</v>
      </c>
      <c r="D218" s="25" t="s">
        <v>694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1093</f>
        <v>1093</v>
      </c>
      <c r="L218" s="32" t="s">
        <v>904</v>
      </c>
      <c r="M218" s="31">
        <f>1123</f>
        <v>1123</v>
      </c>
      <c r="N218" s="32" t="s">
        <v>819</v>
      </c>
      <c r="O218" s="31">
        <f>1078</f>
        <v>1078</v>
      </c>
      <c r="P218" s="32" t="s">
        <v>936</v>
      </c>
      <c r="Q218" s="31">
        <f>1092</f>
        <v>1092</v>
      </c>
      <c r="R218" s="32" t="s">
        <v>818</v>
      </c>
      <c r="S218" s="33">
        <f>1099.86</f>
        <v>1099.8599999999999</v>
      </c>
      <c r="T218" s="30">
        <f>198235</f>
        <v>198235</v>
      </c>
      <c r="U218" s="30" t="str">
        <f>"－"</f>
        <v>－</v>
      </c>
      <c r="V218" s="30">
        <f>218821602</f>
        <v>218821602</v>
      </c>
      <c r="W218" s="30" t="str">
        <f>"－"</f>
        <v>－</v>
      </c>
      <c r="X218" s="34">
        <f>22</f>
        <v>22</v>
      </c>
    </row>
    <row r="219" spans="1:24" x14ac:dyDescent="0.15">
      <c r="A219" s="25" t="s">
        <v>1006</v>
      </c>
      <c r="B219" s="25" t="s">
        <v>696</v>
      </c>
      <c r="C219" s="25" t="s">
        <v>697</v>
      </c>
      <c r="D219" s="25" t="s">
        <v>698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919.6</f>
        <v>919.6</v>
      </c>
      <c r="L219" s="32" t="s">
        <v>904</v>
      </c>
      <c r="M219" s="31">
        <f>949.1</f>
        <v>949.1</v>
      </c>
      <c r="N219" s="32" t="s">
        <v>934</v>
      </c>
      <c r="O219" s="31">
        <f>909.6</f>
        <v>909.6</v>
      </c>
      <c r="P219" s="32" t="s">
        <v>909</v>
      </c>
      <c r="Q219" s="31">
        <f>943</f>
        <v>943</v>
      </c>
      <c r="R219" s="32" t="s">
        <v>818</v>
      </c>
      <c r="S219" s="33">
        <f>935.86</f>
        <v>935.86</v>
      </c>
      <c r="T219" s="30">
        <f>200520</f>
        <v>200520</v>
      </c>
      <c r="U219" s="30">
        <f>117530</f>
        <v>117530</v>
      </c>
      <c r="V219" s="30">
        <f>188159998</f>
        <v>188159998</v>
      </c>
      <c r="W219" s="30">
        <f>110542870</f>
        <v>110542870</v>
      </c>
      <c r="X219" s="34">
        <f>22</f>
        <v>22</v>
      </c>
    </row>
    <row r="220" spans="1:24" x14ac:dyDescent="0.15">
      <c r="A220" s="25" t="s">
        <v>1006</v>
      </c>
      <c r="B220" s="25" t="s">
        <v>699</v>
      </c>
      <c r="C220" s="25" t="s">
        <v>700</v>
      </c>
      <c r="D220" s="25" t="s">
        <v>701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1168.5</f>
        <v>1168.5</v>
      </c>
      <c r="L220" s="32" t="s">
        <v>904</v>
      </c>
      <c r="M220" s="31">
        <f>1221</f>
        <v>1221</v>
      </c>
      <c r="N220" s="32" t="s">
        <v>812</v>
      </c>
      <c r="O220" s="31">
        <f>1125</f>
        <v>1125</v>
      </c>
      <c r="P220" s="32" t="s">
        <v>909</v>
      </c>
      <c r="Q220" s="31">
        <f>1210.5</f>
        <v>1210.5</v>
      </c>
      <c r="R220" s="32" t="s">
        <v>818</v>
      </c>
      <c r="S220" s="33">
        <f>1190.61</f>
        <v>1190.6099999999999</v>
      </c>
      <c r="T220" s="30">
        <f>87920</f>
        <v>87920</v>
      </c>
      <c r="U220" s="30">
        <f>19700</f>
        <v>19700</v>
      </c>
      <c r="V220" s="30">
        <f>105385286</f>
        <v>105385286</v>
      </c>
      <c r="W220" s="30">
        <f>23852421</f>
        <v>23852421</v>
      </c>
      <c r="X220" s="34">
        <f>22</f>
        <v>22</v>
      </c>
    </row>
    <row r="221" spans="1:24" x14ac:dyDescent="0.15">
      <c r="A221" s="25" t="s">
        <v>1006</v>
      </c>
      <c r="B221" s="25" t="s">
        <v>702</v>
      </c>
      <c r="C221" s="25" t="s">
        <v>703</v>
      </c>
      <c r="D221" s="25" t="s">
        <v>704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1418.5</f>
        <v>1418.5</v>
      </c>
      <c r="L221" s="32" t="s">
        <v>904</v>
      </c>
      <c r="M221" s="31">
        <f>1484.5</f>
        <v>1484.5</v>
      </c>
      <c r="N221" s="32" t="s">
        <v>819</v>
      </c>
      <c r="O221" s="31">
        <f>1369.5</f>
        <v>1369.5</v>
      </c>
      <c r="P221" s="32" t="s">
        <v>818</v>
      </c>
      <c r="Q221" s="31">
        <f>1379.5</f>
        <v>1379.5</v>
      </c>
      <c r="R221" s="32" t="s">
        <v>818</v>
      </c>
      <c r="S221" s="33">
        <f>1432.52</f>
        <v>1432.52</v>
      </c>
      <c r="T221" s="30">
        <f>7208300</f>
        <v>7208300</v>
      </c>
      <c r="U221" s="30">
        <f>4550450</f>
        <v>4550450</v>
      </c>
      <c r="V221" s="30">
        <f>10272900366</f>
        <v>10272900366</v>
      </c>
      <c r="W221" s="30">
        <f>6483704006</f>
        <v>6483704006</v>
      </c>
      <c r="X221" s="34">
        <f>22</f>
        <v>22</v>
      </c>
    </row>
    <row r="222" spans="1:24" x14ac:dyDescent="0.15">
      <c r="A222" s="25" t="s">
        <v>1006</v>
      </c>
      <c r="B222" s="25" t="s">
        <v>705</v>
      </c>
      <c r="C222" s="25" t="s">
        <v>706</v>
      </c>
      <c r="D222" s="25" t="s">
        <v>707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3610</f>
        <v>3610</v>
      </c>
      <c r="L222" s="32" t="s">
        <v>904</v>
      </c>
      <c r="M222" s="31">
        <f>3810</f>
        <v>3810</v>
      </c>
      <c r="N222" s="32" t="s">
        <v>915</v>
      </c>
      <c r="O222" s="31">
        <f>3505</f>
        <v>3505</v>
      </c>
      <c r="P222" s="32" t="s">
        <v>934</v>
      </c>
      <c r="Q222" s="31">
        <f>3550</f>
        <v>3550</v>
      </c>
      <c r="R222" s="32" t="s">
        <v>818</v>
      </c>
      <c r="S222" s="33">
        <f>3677.27</f>
        <v>3677.27</v>
      </c>
      <c r="T222" s="30">
        <f>78264</f>
        <v>78264</v>
      </c>
      <c r="U222" s="30">
        <f>50</f>
        <v>50</v>
      </c>
      <c r="V222" s="30">
        <f>284025060</f>
        <v>284025060</v>
      </c>
      <c r="W222" s="30">
        <f>176050</f>
        <v>176050</v>
      </c>
      <c r="X222" s="34">
        <f>22</f>
        <v>22</v>
      </c>
    </row>
    <row r="223" spans="1:24" x14ac:dyDescent="0.15">
      <c r="A223" s="25" t="s">
        <v>1006</v>
      </c>
      <c r="B223" s="25" t="s">
        <v>708</v>
      </c>
      <c r="C223" s="25" t="s">
        <v>709</v>
      </c>
      <c r="D223" s="25" t="s">
        <v>710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1655</f>
        <v>1655</v>
      </c>
      <c r="L223" s="32" t="s">
        <v>904</v>
      </c>
      <c r="M223" s="31">
        <f>1673</f>
        <v>1673</v>
      </c>
      <c r="N223" s="32" t="s">
        <v>820</v>
      </c>
      <c r="O223" s="31">
        <f>1645</f>
        <v>1645</v>
      </c>
      <c r="P223" s="32" t="s">
        <v>912</v>
      </c>
      <c r="Q223" s="31">
        <f>1655</f>
        <v>1655</v>
      </c>
      <c r="R223" s="32" t="s">
        <v>818</v>
      </c>
      <c r="S223" s="33">
        <f>1659.59</f>
        <v>1659.59</v>
      </c>
      <c r="T223" s="30">
        <f>2070</f>
        <v>2070</v>
      </c>
      <c r="U223" s="30" t="str">
        <f>"－"</f>
        <v>－</v>
      </c>
      <c r="V223" s="30">
        <f>3420865</f>
        <v>3420865</v>
      </c>
      <c r="W223" s="30" t="str">
        <f>"－"</f>
        <v>－</v>
      </c>
      <c r="X223" s="34">
        <f>17</f>
        <v>17</v>
      </c>
    </row>
    <row r="224" spans="1:24" x14ac:dyDescent="0.15">
      <c r="A224" s="25" t="s">
        <v>1006</v>
      </c>
      <c r="B224" s="25" t="s">
        <v>711</v>
      </c>
      <c r="C224" s="25" t="s">
        <v>712</v>
      </c>
      <c r="D224" s="25" t="s">
        <v>713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1992.5</f>
        <v>1992.5</v>
      </c>
      <c r="L224" s="32" t="s">
        <v>904</v>
      </c>
      <c r="M224" s="31">
        <f>2028.5</f>
        <v>2028.5</v>
      </c>
      <c r="N224" s="32" t="s">
        <v>819</v>
      </c>
      <c r="O224" s="31">
        <f>1975</f>
        <v>1975</v>
      </c>
      <c r="P224" s="32" t="s">
        <v>905</v>
      </c>
      <c r="Q224" s="31">
        <f>2002</f>
        <v>2002</v>
      </c>
      <c r="R224" s="32" t="s">
        <v>815</v>
      </c>
      <c r="S224" s="33">
        <f>1999.03</f>
        <v>1999.03</v>
      </c>
      <c r="T224" s="30">
        <f>1100840</f>
        <v>1100840</v>
      </c>
      <c r="U224" s="30">
        <f>699300</f>
        <v>699300</v>
      </c>
      <c r="V224" s="30">
        <f>2198183395</f>
        <v>2198183395</v>
      </c>
      <c r="W224" s="30">
        <f>1394198520</f>
        <v>1394198520</v>
      </c>
      <c r="X224" s="34">
        <f>16</f>
        <v>16</v>
      </c>
    </row>
    <row r="225" spans="1:24" x14ac:dyDescent="0.15">
      <c r="A225" s="25" t="s">
        <v>1006</v>
      </c>
      <c r="B225" s="25" t="s">
        <v>714</v>
      </c>
      <c r="C225" s="25" t="s">
        <v>715</v>
      </c>
      <c r="D225" s="25" t="s">
        <v>716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28190</f>
        <v>28190</v>
      </c>
      <c r="L225" s="32" t="s">
        <v>907</v>
      </c>
      <c r="M225" s="31">
        <f>29430</f>
        <v>29430</v>
      </c>
      <c r="N225" s="32" t="s">
        <v>819</v>
      </c>
      <c r="O225" s="31">
        <f>28065</f>
        <v>28065</v>
      </c>
      <c r="P225" s="32" t="s">
        <v>936</v>
      </c>
      <c r="Q225" s="31">
        <f>28280</f>
        <v>28280</v>
      </c>
      <c r="R225" s="32" t="s">
        <v>934</v>
      </c>
      <c r="S225" s="33">
        <f>28684.67</f>
        <v>28684.67</v>
      </c>
      <c r="T225" s="30">
        <f>187170</f>
        <v>187170</v>
      </c>
      <c r="U225" s="30">
        <f>164600</f>
        <v>164600</v>
      </c>
      <c r="V225" s="30">
        <f>5410131767</f>
        <v>5410131767</v>
      </c>
      <c r="W225" s="30">
        <f>4767296262</f>
        <v>4767296262</v>
      </c>
      <c r="X225" s="34">
        <f>15</f>
        <v>15</v>
      </c>
    </row>
    <row r="226" spans="1:24" x14ac:dyDescent="0.15">
      <c r="A226" s="25" t="s">
        <v>1006</v>
      </c>
      <c r="B226" s="25" t="s">
        <v>717</v>
      </c>
      <c r="C226" s="25" t="s">
        <v>718</v>
      </c>
      <c r="D226" s="25" t="s">
        <v>719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17765</f>
        <v>17765</v>
      </c>
      <c r="L226" s="32" t="s">
        <v>904</v>
      </c>
      <c r="M226" s="31">
        <f>18180</f>
        <v>18180</v>
      </c>
      <c r="N226" s="32" t="s">
        <v>819</v>
      </c>
      <c r="O226" s="31">
        <f>17655</f>
        <v>17655</v>
      </c>
      <c r="P226" s="32" t="s">
        <v>936</v>
      </c>
      <c r="Q226" s="31">
        <f>17755</f>
        <v>17755</v>
      </c>
      <c r="R226" s="32" t="s">
        <v>818</v>
      </c>
      <c r="S226" s="33">
        <f>17878.13</f>
        <v>17878.13</v>
      </c>
      <c r="T226" s="30">
        <f>12508</f>
        <v>12508</v>
      </c>
      <c r="U226" s="30">
        <f>3000</f>
        <v>3000</v>
      </c>
      <c r="V226" s="30">
        <f>223041031</f>
        <v>223041031</v>
      </c>
      <c r="W226" s="30">
        <f>54097496</f>
        <v>54097496</v>
      </c>
      <c r="X226" s="34">
        <f>16</f>
        <v>16</v>
      </c>
    </row>
    <row r="227" spans="1:24" x14ac:dyDescent="0.15">
      <c r="A227" s="25" t="s">
        <v>1006</v>
      </c>
      <c r="B227" s="25" t="s">
        <v>720</v>
      </c>
      <c r="C227" s="25" t="s">
        <v>721</v>
      </c>
      <c r="D227" s="25" t="s">
        <v>722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1190.5</f>
        <v>1190.5</v>
      </c>
      <c r="L227" s="32" t="s">
        <v>904</v>
      </c>
      <c r="M227" s="31">
        <f>1200</f>
        <v>1200</v>
      </c>
      <c r="N227" s="32" t="s">
        <v>816</v>
      </c>
      <c r="O227" s="31">
        <f>1184.5</f>
        <v>1184.5</v>
      </c>
      <c r="P227" s="32" t="s">
        <v>912</v>
      </c>
      <c r="Q227" s="31">
        <f>1193.5</f>
        <v>1193.5</v>
      </c>
      <c r="R227" s="32" t="s">
        <v>936</v>
      </c>
      <c r="S227" s="33">
        <f>1190.67</f>
        <v>1190.67</v>
      </c>
      <c r="T227" s="30">
        <f>189740</f>
        <v>189740</v>
      </c>
      <c r="U227" s="30">
        <f>25000</f>
        <v>25000</v>
      </c>
      <c r="V227" s="30">
        <f>225608220</f>
        <v>225608220</v>
      </c>
      <c r="W227" s="30">
        <f>29588500</f>
        <v>29588500</v>
      </c>
      <c r="X227" s="34">
        <f>12</f>
        <v>12</v>
      </c>
    </row>
    <row r="228" spans="1:24" x14ac:dyDescent="0.15">
      <c r="A228" s="25" t="s">
        <v>1006</v>
      </c>
      <c r="B228" s="25" t="s">
        <v>723</v>
      </c>
      <c r="C228" s="25" t="s">
        <v>724</v>
      </c>
      <c r="D228" s="25" t="s">
        <v>725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1191</f>
        <v>1191</v>
      </c>
      <c r="L228" s="32" t="s">
        <v>904</v>
      </c>
      <c r="M228" s="31">
        <f>1210</f>
        <v>1210</v>
      </c>
      <c r="N228" s="32" t="s">
        <v>818</v>
      </c>
      <c r="O228" s="31">
        <f>1179</f>
        <v>1179</v>
      </c>
      <c r="P228" s="32" t="s">
        <v>907</v>
      </c>
      <c r="Q228" s="31">
        <f>1203</f>
        <v>1203</v>
      </c>
      <c r="R228" s="32" t="s">
        <v>818</v>
      </c>
      <c r="S228" s="33">
        <f>1190.3</f>
        <v>1190.3</v>
      </c>
      <c r="T228" s="30">
        <f>22250</f>
        <v>22250</v>
      </c>
      <c r="U228" s="30" t="str">
        <f>"－"</f>
        <v>－</v>
      </c>
      <c r="V228" s="30">
        <f>26405545</f>
        <v>26405545</v>
      </c>
      <c r="W228" s="30" t="str">
        <f>"－"</f>
        <v>－</v>
      </c>
      <c r="X228" s="34">
        <f>22</f>
        <v>22</v>
      </c>
    </row>
    <row r="229" spans="1:24" x14ac:dyDescent="0.15">
      <c r="A229" s="25" t="s">
        <v>1006</v>
      </c>
      <c r="B229" s="25" t="s">
        <v>726</v>
      </c>
      <c r="C229" s="25" t="s">
        <v>727</v>
      </c>
      <c r="D229" s="25" t="s">
        <v>728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1246</f>
        <v>1246</v>
      </c>
      <c r="L229" s="32" t="s">
        <v>904</v>
      </c>
      <c r="M229" s="31">
        <f>1259</f>
        <v>1259</v>
      </c>
      <c r="N229" s="32" t="s">
        <v>934</v>
      </c>
      <c r="O229" s="31">
        <f>1202</f>
        <v>1202</v>
      </c>
      <c r="P229" s="32" t="s">
        <v>810</v>
      </c>
      <c r="Q229" s="31">
        <f>1251</f>
        <v>1251</v>
      </c>
      <c r="R229" s="32" t="s">
        <v>818</v>
      </c>
      <c r="S229" s="33">
        <f>1234.05</f>
        <v>1234.05</v>
      </c>
      <c r="T229" s="30">
        <f>43217</f>
        <v>43217</v>
      </c>
      <c r="U229" s="30">
        <f>16</f>
        <v>16</v>
      </c>
      <c r="V229" s="30">
        <f>53083154</f>
        <v>53083154</v>
      </c>
      <c r="W229" s="30">
        <f>20730</f>
        <v>20730</v>
      </c>
      <c r="X229" s="34">
        <f>22</f>
        <v>22</v>
      </c>
    </row>
    <row r="230" spans="1:24" x14ac:dyDescent="0.15">
      <c r="A230" s="25" t="s">
        <v>1006</v>
      </c>
      <c r="B230" s="25" t="s">
        <v>729</v>
      </c>
      <c r="C230" s="25" t="s">
        <v>730</v>
      </c>
      <c r="D230" s="25" t="s">
        <v>731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13400</f>
        <v>13400</v>
      </c>
      <c r="L230" s="32" t="s">
        <v>904</v>
      </c>
      <c r="M230" s="31">
        <f>13950</f>
        <v>13950</v>
      </c>
      <c r="N230" s="32" t="s">
        <v>915</v>
      </c>
      <c r="O230" s="31">
        <f>13235</f>
        <v>13235</v>
      </c>
      <c r="P230" s="32" t="s">
        <v>909</v>
      </c>
      <c r="Q230" s="31">
        <f>13785</f>
        <v>13785</v>
      </c>
      <c r="R230" s="32" t="s">
        <v>818</v>
      </c>
      <c r="S230" s="33">
        <f>13657.86</f>
        <v>13657.86</v>
      </c>
      <c r="T230" s="30">
        <f>1247</f>
        <v>1247</v>
      </c>
      <c r="U230" s="30" t="str">
        <f>"－"</f>
        <v>－</v>
      </c>
      <c r="V230" s="30">
        <f>16916105</f>
        <v>16916105</v>
      </c>
      <c r="W230" s="30" t="str">
        <f>"－"</f>
        <v>－</v>
      </c>
      <c r="X230" s="34">
        <f>21</f>
        <v>21</v>
      </c>
    </row>
    <row r="231" spans="1:24" x14ac:dyDescent="0.15">
      <c r="A231" s="25" t="s">
        <v>1006</v>
      </c>
      <c r="B231" s="25" t="s">
        <v>732</v>
      </c>
      <c r="C231" s="25" t="s">
        <v>733</v>
      </c>
      <c r="D231" s="25" t="s">
        <v>734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2174</f>
        <v>2174</v>
      </c>
      <c r="L231" s="32" t="s">
        <v>904</v>
      </c>
      <c r="M231" s="31">
        <f>2198</f>
        <v>2198</v>
      </c>
      <c r="N231" s="32" t="s">
        <v>909</v>
      </c>
      <c r="O231" s="31">
        <f>2142</f>
        <v>2142</v>
      </c>
      <c r="P231" s="32" t="s">
        <v>912</v>
      </c>
      <c r="Q231" s="31">
        <f>2177</f>
        <v>2177</v>
      </c>
      <c r="R231" s="32" t="s">
        <v>818</v>
      </c>
      <c r="S231" s="33">
        <f>2163.73</f>
        <v>2163.73</v>
      </c>
      <c r="T231" s="30">
        <f>17036</f>
        <v>17036</v>
      </c>
      <c r="U231" s="30" t="str">
        <f>"－"</f>
        <v>－</v>
      </c>
      <c r="V231" s="30">
        <f>36785079</f>
        <v>36785079</v>
      </c>
      <c r="W231" s="30" t="str">
        <f>"－"</f>
        <v>－</v>
      </c>
      <c r="X231" s="34">
        <f>22</f>
        <v>22</v>
      </c>
    </row>
    <row r="232" spans="1:24" x14ac:dyDescent="0.15">
      <c r="A232" s="25" t="s">
        <v>1006</v>
      </c>
      <c r="B232" s="25" t="s">
        <v>735</v>
      </c>
      <c r="C232" s="25" t="s">
        <v>736</v>
      </c>
      <c r="D232" s="25" t="s">
        <v>737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1673</f>
        <v>1673</v>
      </c>
      <c r="L232" s="32" t="s">
        <v>904</v>
      </c>
      <c r="M232" s="31">
        <f>1800</f>
        <v>1800</v>
      </c>
      <c r="N232" s="32" t="s">
        <v>812</v>
      </c>
      <c r="O232" s="31">
        <f>1598</f>
        <v>1598</v>
      </c>
      <c r="P232" s="32" t="s">
        <v>909</v>
      </c>
      <c r="Q232" s="31">
        <f>1670.5</f>
        <v>1670.5</v>
      </c>
      <c r="R232" s="32" t="s">
        <v>818</v>
      </c>
      <c r="S232" s="33">
        <f>1689.15</f>
        <v>1689.15</v>
      </c>
      <c r="T232" s="30">
        <f>1530</f>
        <v>1530</v>
      </c>
      <c r="U232" s="30" t="str">
        <f>"－"</f>
        <v>－</v>
      </c>
      <c r="V232" s="30">
        <f>2603340</f>
        <v>2603340</v>
      </c>
      <c r="W232" s="30" t="str">
        <f>"－"</f>
        <v>－</v>
      </c>
      <c r="X232" s="34">
        <f>17</f>
        <v>17</v>
      </c>
    </row>
    <row r="233" spans="1:24" x14ac:dyDescent="0.15">
      <c r="A233" s="25" t="s">
        <v>1006</v>
      </c>
      <c r="B233" s="25" t="s">
        <v>738</v>
      </c>
      <c r="C233" s="25" t="s">
        <v>822</v>
      </c>
      <c r="D233" s="25" t="s">
        <v>823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903.9</f>
        <v>903.9</v>
      </c>
      <c r="L233" s="32" t="s">
        <v>904</v>
      </c>
      <c r="M233" s="31">
        <f>905.1</f>
        <v>905.1</v>
      </c>
      <c r="N233" s="32" t="s">
        <v>909</v>
      </c>
      <c r="O233" s="31">
        <f>880.8</f>
        <v>880.8</v>
      </c>
      <c r="P233" s="32" t="s">
        <v>934</v>
      </c>
      <c r="Q233" s="31">
        <f>883.1</f>
        <v>883.1</v>
      </c>
      <c r="R233" s="32" t="s">
        <v>818</v>
      </c>
      <c r="S233" s="33">
        <f>894.18</f>
        <v>894.18</v>
      </c>
      <c r="T233" s="30">
        <f>1263060</f>
        <v>1263060</v>
      </c>
      <c r="U233" s="30">
        <f>1073530</f>
        <v>1073530</v>
      </c>
      <c r="V233" s="30">
        <f>1130133157</f>
        <v>1130133157</v>
      </c>
      <c r="W233" s="30">
        <f>959872877</f>
        <v>959872877</v>
      </c>
      <c r="X233" s="34">
        <f>22</f>
        <v>22</v>
      </c>
    </row>
    <row r="234" spans="1:24" x14ac:dyDescent="0.15">
      <c r="A234" s="25" t="s">
        <v>1006</v>
      </c>
      <c r="B234" s="25" t="s">
        <v>739</v>
      </c>
      <c r="C234" s="25" t="s">
        <v>740</v>
      </c>
      <c r="D234" s="25" t="s">
        <v>741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2074.5</f>
        <v>2074.5</v>
      </c>
      <c r="L234" s="32" t="s">
        <v>904</v>
      </c>
      <c r="M234" s="31">
        <f>2091.5</f>
        <v>2091.5</v>
      </c>
      <c r="N234" s="32" t="s">
        <v>818</v>
      </c>
      <c r="O234" s="31">
        <f>2046.5</f>
        <v>2046.5</v>
      </c>
      <c r="P234" s="32" t="s">
        <v>907</v>
      </c>
      <c r="Q234" s="31">
        <f>2083.5</f>
        <v>2083.5</v>
      </c>
      <c r="R234" s="32" t="s">
        <v>818</v>
      </c>
      <c r="S234" s="33">
        <f>2068.14</f>
        <v>2068.14</v>
      </c>
      <c r="T234" s="30">
        <f>7780</f>
        <v>7780</v>
      </c>
      <c r="U234" s="30" t="str">
        <f>"－"</f>
        <v>－</v>
      </c>
      <c r="V234" s="30">
        <f>16101060</f>
        <v>16101060</v>
      </c>
      <c r="W234" s="30" t="str">
        <f>"－"</f>
        <v>－</v>
      </c>
      <c r="X234" s="34">
        <f>21</f>
        <v>21</v>
      </c>
    </row>
    <row r="235" spans="1:24" x14ac:dyDescent="0.15">
      <c r="A235" s="25" t="s">
        <v>1006</v>
      </c>
      <c r="B235" s="25" t="s">
        <v>742</v>
      </c>
      <c r="C235" s="25" t="s">
        <v>743</v>
      </c>
      <c r="D235" s="25" t="s">
        <v>744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2065.5</f>
        <v>2065.5</v>
      </c>
      <c r="L235" s="32" t="s">
        <v>904</v>
      </c>
      <c r="M235" s="31">
        <f>2095.5</f>
        <v>2095.5</v>
      </c>
      <c r="N235" s="32" t="s">
        <v>934</v>
      </c>
      <c r="O235" s="31">
        <f>2041.5</f>
        <v>2041.5</v>
      </c>
      <c r="P235" s="32" t="s">
        <v>907</v>
      </c>
      <c r="Q235" s="31">
        <f>2091</f>
        <v>2091</v>
      </c>
      <c r="R235" s="32" t="s">
        <v>818</v>
      </c>
      <c r="S235" s="33">
        <f>2066.89</f>
        <v>2066.89</v>
      </c>
      <c r="T235" s="30">
        <f>404100</f>
        <v>404100</v>
      </c>
      <c r="U235" s="30">
        <f>115010</f>
        <v>115010</v>
      </c>
      <c r="V235" s="30">
        <f>834813975</f>
        <v>834813975</v>
      </c>
      <c r="W235" s="30">
        <f>237686145</f>
        <v>237686145</v>
      </c>
      <c r="X235" s="34">
        <f>22</f>
        <v>22</v>
      </c>
    </row>
    <row r="236" spans="1:24" x14ac:dyDescent="0.15">
      <c r="A236" s="25" t="s">
        <v>1006</v>
      </c>
      <c r="B236" s="25" t="s">
        <v>745</v>
      </c>
      <c r="C236" s="25" t="s">
        <v>746</v>
      </c>
      <c r="D236" s="25" t="s">
        <v>747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1975.5</f>
        <v>1975.5</v>
      </c>
      <c r="L236" s="32" t="s">
        <v>904</v>
      </c>
      <c r="M236" s="31">
        <f>2016.5</f>
        <v>2016.5</v>
      </c>
      <c r="N236" s="32" t="s">
        <v>819</v>
      </c>
      <c r="O236" s="31">
        <f>1944.5</f>
        <v>1944.5</v>
      </c>
      <c r="P236" s="32" t="s">
        <v>909</v>
      </c>
      <c r="Q236" s="31">
        <f>1972.5</f>
        <v>1972.5</v>
      </c>
      <c r="R236" s="32" t="s">
        <v>934</v>
      </c>
      <c r="S236" s="33">
        <f>1979.5</f>
        <v>1979.5</v>
      </c>
      <c r="T236" s="30">
        <f>61860</f>
        <v>61860</v>
      </c>
      <c r="U236" s="30">
        <f>51150</f>
        <v>51150</v>
      </c>
      <c r="V236" s="30">
        <f>121002422</f>
        <v>121002422</v>
      </c>
      <c r="W236" s="30">
        <f>99977787</f>
        <v>99977787</v>
      </c>
      <c r="X236" s="34">
        <f>11</f>
        <v>11</v>
      </c>
    </row>
    <row r="237" spans="1:24" x14ac:dyDescent="0.15">
      <c r="A237" s="25" t="s">
        <v>1006</v>
      </c>
      <c r="B237" s="25" t="s">
        <v>748</v>
      </c>
      <c r="C237" s="25" t="s">
        <v>749</v>
      </c>
      <c r="D237" s="25" t="s">
        <v>750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15760</f>
        <v>15760</v>
      </c>
      <c r="L237" s="32" t="s">
        <v>904</v>
      </c>
      <c r="M237" s="31">
        <f>16775</f>
        <v>16775</v>
      </c>
      <c r="N237" s="32" t="s">
        <v>816</v>
      </c>
      <c r="O237" s="31">
        <f>15360</f>
        <v>15360</v>
      </c>
      <c r="P237" s="32" t="s">
        <v>909</v>
      </c>
      <c r="Q237" s="31">
        <f>15975</f>
        <v>15975</v>
      </c>
      <c r="R237" s="32" t="s">
        <v>818</v>
      </c>
      <c r="S237" s="33">
        <f>16169.77</f>
        <v>16169.77</v>
      </c>
      <c r="T237" s="30">
        <f>1030978</f>
        <v>1030978</v>
      </c>
      <c r="U237" s="30">
        <f>166824</f>
        <v>166824</v>
      </c>
      <c r="V237" s="30">
        <f>16726758793</f>
        <v>16726758793</v>
      </c>
      <c r="W237" s="30">
        <f>2742790313</f>
        <v>2742790313</v>
      </c>
      <c r="X237" s="34">
        <f>22</f>
        <v>22</v>
      </c>
    </row>
    <row r="238" spans="1:24" x14ac:dyDescent="0.15">
      <c r="A238" s="25" t="s">
        <v>1006</v>
      </c>
      <c r="B238" s="25" t="s">
        <v>751</v>
      </c>
      <c r="C238" s="25" t="s">
        <v>752</v>
      </c>
      <c r="D238" s="25" t="s">
        <v>753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13970</f>
        <v>13970</v>
      </c>
      <c r="L238" s="32" t="s">
        <v>904</v>
      </c>
      <c r="M238" s="31">
        <f>14625</f>
        <v>14625</v>
      </c>
      <c r="N238" s="32" t="s">
        <v>816</v>
      </c>
      <c r="O238" s="31">
        <f>13610</f>
        <v>13610</v>
      </c>
      <c r="P238" s="32" t="s">
        <v>909</v>
      </c>
      <c r="Q238" s="31">
        <f>14175</f>
        <v>14175</v>
      </c>
      <c r="R238" s="32" t="s">
        <v>818</v>
      </c>
      <c r="S238" s="33">
        <f>14253.41</f>
        <v>14253.41</v>
      </c>
      <c r="T238" s="30">
        <f>146863</f>
        <v>146863</v>
      </c>
      <c r="U238" s="30" t="str">
        <f>"－"</f>
        <v>－</v>
      </c>
      <c r="V238" s="30">
        <f>2088078840</f>
        <v>2088078840</v>
      </c>
      <c r="W238" s="30" t="str">
        <f>"－"</f>
        <v>－</v>
      </c>
      <c r="X238" s="34">
        <f>22</f>
        <v>22</v>
      </c>
    </row>
    <row r="239" spans="1:24" x14ac:dyDescent="0.15">
      <c r="A239" s="25" t="s">
        <v>1006</v>
      </c>
      <c r="B239" s="25" t="s">
        <v>754</v>
      </c>
      <c r="C239" s="25" t="s">
        <v>755</v>
      </c>
      <c r="D239" s="25" t="s">
        <v>756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25835</f>
        <v>25835</v>
      </c>
      <c r="L239" s="32" t="s">
        <v>811</v>
      </c>
      <c r="M239" s="31">
        <f>26720</f>
        <v>26720</v>
      </c>
      <c r="N239" s="32" t="s">
        <v>819</v>
      </c>
      <c r="O239" s="31">
        <f>25835</f>
        <v>25835</v>
      </c>
      <c r="P239" s="32" t="s">
        <v>811</v>
      </c>
      <c r="Q239" s="31">
        <f>26315</f>
        <v>26315</v>
      </c>
      <c r="R239" s="32" t="s">
        <v>935</v>
      </c>
      <c r="S239" s="33">
        <f>26413.75</f>
        <v>26413.75</v>
      </c>
      <c r="T239" s="30">
        <f>69</f>
        <v>69</v>
      </c>
      <c r="U239" s="30" t="str">
        <f>"－"</f>
        <v>－</v>
      </c>
      <c r="V239" s="30">
        <f>1820815</f>
        <v>1820815</v>
      </c>
      <c r="W239" s="30" t="str">
        <f>"－"</f>
        <v>－</v>
      </c>
      <c r="X239" s="34">
        <f>8</f>
        <v>8</v>
      </c>
    </row>
    <row r="240" spans="1:24" x14ac:dyDescent="0.15">
      <c r="A240" s="25" t="s">
        <v>1006</v>
      </c>
      <c r="B240" s="25" t="s">
        <v>757</v>
      </c>
      <c r="C240" s="25" t="s">
        <v>758</v>
      </c>
      <c r="D240" s="25" t="s">
        <v>759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2596</f>
        <v>2596</v>
      </c>
      <c r="L240" s="32" t="s">
        <v>904</v>
      </c>
      <c r="M240" s="31">
        <f>2616</f>
        <v>2616</v>
      </c>
      <c r="N240" s="32" t="s">
        <v>819</v>
      </c>
      <c r="O240" s="31">
        <f>2578</f>
        <v>2578</v>
      </c>
      <c r="P240" s="32" t="s">
        <v>934</v>
      </c>
      <c r="Q240" s="31">
        <f>2588</f>
        <v>2588</v>
      </c>
      <c r="R240" s="32" t="s">
        <v>818</v>
      </c>
      <c r="S240" s="33">
        <f>2596</f>
        <v>2596</v>
      </c>
      <c r="T240" s="30">
        <f>313282</f>
        <v>313282</v>
      </c>
      <c r="U240" s="30">
        <f>73790</f>
        <v>73790</v>
      </c>
      <c r="V240" s="30">
        <f>814316547</f>
        <v>814316547</v>
      </c>
      <c r="W240" s="30">
        <f>191955944</f>
        <v>191955944</v>
      </c>
      <c r="X240" s="34">
        <f>22</f>
        <v>22</v>
      </c>
    </row>
    <row r="241" spans="1:24" x14ac:dyDescent="0.15">
      <c r="A241" s="25" t="s">
        <v>1006</v>
      </c>
      <c r="B241" s="25" t="s">
        <v>760</v>
      </c>
      <c r="C241" s="25" t="s">
        <v>761</v>
      </c>
      <c r="D241" s="25" t="s">
        <v>762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2795</f>
        <v>2795</v>
      </c>
      <c r="L241" s="32" t="s">
        <v>904</v>
      </c>
      <c r="M241" s="31">
        <f>2914.5</f>
        <v>2914.5</v>
      </c>
      <c r="N241" s="32" t="s">
        <v>819</v>
      </c>
      <c r="O241" s="31">
        <f>2650</f>
        <v>2650</v>
      </c>
      <c r="P241" s="32" t="s">
        <v>912</v>
      </c>
      <c r="Q241" s="31">
        <f>2722</f>
        <v>2722</v>
      </c>
      <c r="R241" s="32" t="s">
        <v>818</v>
      </c>
      <c r="S241" s="33">
        <f>2815.39</f>
        <v>2815.39</v>
      </c>
      <c r="T241" s="30">
        <f>2783270</f>
        <v>2783270</v>
      </c>
      <c r="U241" s="30">
        <f>1850330</f>
        <v>1850330</v>
      </c>
      <c r="V241" s="30">
        <f>7810181772</f>
        <v>7810181772</v>
      </c>
      <c r="W241" s="30">
        <f>5140948902</f>
        <v>5140948902</v>
      </c>
      <c r="X241" s="34">
        <f>22</f>
        <v>22</v>
      </c>
    </row>
    <row r="242" spans="1:24" x14ac:dyDescent="0.15">
      <c r="A242" s="25" t="s">
        <v>1006</v>
      </c>
      <c r="B242" s="25" t="s">
        <v>763</v>
      </c>
      <c r="C242" s="25" t="s">
        <v>764</v>
      </c>
      <c r="D242" s="25" t="s">
        <v>765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264.7</f>
        <v>264.7</v>
      </c>
      <c r="L242" s="32" t="s">
        <v>904</v>
      </c>
      <c r="M242" s="31">
        <f>275.4</f>
        <v>275.39999999999998</v>
      </c>
      <c r="N242" s="32" t="s">
        <v>819</v>
      </c>
      <c r="O242" s="31">
        <f>254.1</f>
        <v>254.1</v>
      </c>
      <c r="P242" s="32" t="s">
        <v>818</v>
      </c>
      <c r="Q242" s="31">
        <f>256</f>
        <v>256</v>
      </c>
      <c r="R242" s="32" t="s">
        <v>818</v>
      </c>
      <c r="S242" s="33">
        <f>266.09</f>
        <v>266.08999999999997</v>
      </c>
      <c r="T242" s="30">
        <f>53506460</f>
        <v>53506460</v>
      </c>
      <c r="U242" s="30">
        <f>14564410</f>
        <v>14564410</v>
      </c>
      <c r="V242" s="30">
        <f>14115129186</f>
        <v>14115129186</v>
      </c>
      <c r="W242" s="30">
        <f>3773648651</f>
        <v>3773648651</v>
      </c>
      <c r="X242" s="34">
        <f>22</f>
        <v>22</v>
      </c>
    </row>
    <row r="243" spans="1:24" x14ac:dyDescent="0.15">
      <c r="A243" s="25" t="s">
        <v>1006</v>
      </c>
      <c r="B243" s="25" t="s">
        <v>766</v>
      </c>
      <c r="C243" s="25" t="s">
        <v>767</v>
      </c>
      <c r="D243" s="25" t="s">
        <v>768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2000</f>
        <v>2000</v>
      </c>
      <c r="L243" s="32" t="s">
        <v>904</v>
      </c>
      <c r="M243" s="31">
        <f>2095</f>
        <v>2095</v>
      </c>
      <c r="N243" s="32" t="s">
        <v>812</v>
      </c>
      <c r="O243" s="31">
        <f>1990</f>
        <v>1990</v>
      </c>
      <c r="P243" s="32" t="s">
        <v>909</v>
      </c>
      <c r="Q243" s="31">
        <f>2054</f>
        <v>2054</v>
      </c>
      <c r="R243" s="32" t="s">
        <v>818</v>
      </c>
      <c r="S243" s="33">
        <f>2034.36</f>
        <v>2034.36</v>
      </c>
      <c r="T243" s="30">
        <f>214253</f>
        <v>214253</v>
      </c>
      <c r="U243" s="30">
        <f>89715</f>
        <v>89715</v>
      </c>
      <c r="V243" s="30">
        <f>435760363</f>
        <v>435760363</v>
      </c>
      <c r="W243" s="30">
        <f>183843978</f>
        <v>183843978</v>
      </c>
      <c r="X243" s="34">
        <f>22</f>
        <v>22</v>
      </c>
    </row>
    <row r="244" spans="1:24" x14ac:dyDescent="0.15">
      <c r="A244" s="25" t="s">
        <v>1006</v>
      </c>
      <c r="B244" s="25" t="s">
        <v>769</v>
      </c>
      <c r="C244" s="25" t="s">
        <v>770</v>
      </c>
      <c r="D244" s="25" t="s">
        <v>771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1123</f>
        <v>1123</v>
      </c>
      <c r="L244" s="32" t="s">
        <v>904</v>
      </c>
      <c r="M244" s="31">
        <f>1149</f>
        <v>1149</v>
      </c>
      <c r="N244" s="32" t="s">
        <v>934</v>
      </c>
      <c r="O244" s="31">
        <f>1112</f>
        <v>1112</v>
      </c>
      <c r="P244" s="32" t="s">
        <v>935</v>
      </c>
      <c r="Q244" s="31">
        <f>1137</f>
        <v>1137</v>
      </c>
      <c r="R244" s="32" t="s">
        <v>818</v>
      </c>
      <c r="S244" s="33">
        <f>1127.45</f>
        <v>1127.45</v>
      </c>
      <c r="T244" s="30">
        <f>1329138</f>
        <v>1329138</v>
      </c>
      <c r="U244" s="30">
        <f>972200</f>
        <v>972200</v>
      </c>
      <c r="V244" s="30">
        <f>1500541330</f>
        <v>1500541330</v>
      </c>
      <c r="W244" s="30">
        <f>1097983142</f>
        <v>1097983142</v>
      </c>
      <c r="X244" s="34">
        <f>22</f>
        <v>22</v>
      </c>
    </row>
    <row r="245" spans="1:24" x14ac:dyDescent="0.15">
      <c r="A245" s="25" t="s">
        <v>1006</v>
      </c>
      <c r="B245" s="25" t="s">
        <v>772</v>
      </c>
      <c r="C245" s="25" t="s">
        <v>773</v>
      </c>
      <c r="D245" s="25" t="s">
        <v>774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1143</f>
        <v>1143</v>
      </c>
      <c r="L245" s="32" t="s">
        <v>904</v>
      </c>
      <c r="M245" s="31">
        <f>1155.5</f>
        <v>1155.5</v>
      </c>
      <c r="N245" s="32" t="s">
        <v>818</v>
      </c>
      <c r="O245" s="31">
        <f>1124.5</f>
        <v>1124.5</v>
      </c>
      <c r="P245" s="32" t="s">
        <v>907</v>
      </c>
      <c r="Q245" s="31">
        <f>1152</f>
        <v>1152</v>
      </c>
      <c r="R245" s="32" t="s">
        <v>818</v>
      </c>
      <c r="S245" s="33">
        <f>1138.43</f>
        <v>1138.43</v>
      </c>
      <c r="T245" s="30">
        <f>487200</f>
        <v>487200</v>
      </c>
      <c r="U245" s="30">
        <f>200000</f>
        <v>200000</v>
      </c>
      <c r="V245" s="30">
        <f>556424850</f>
        <v>556424850</v>
      </c>
      <c r="W245" s="30">
        <f>228600000</f>
        <v>228600000</v>
      </c>
      <c r="X245" s="34">
        <f>21</f>
        <v>21</v>
      </c>
    </row>
    <row r="246" spans="1:24" x14ac:dyDescent="0.15">
      <c r="A246" s="25" t="s">
        <v>1006</v>
      </c>
      <c r="B246" s="25" t="s">
        <v>775</v>
      </c>
      <c r="C246" s="25" t="s">
        <v>776</v>
      </c>
      <c r="D246" s="25" t="s">
        <v>777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252</f>
        <v>252</v>
      </c>
      <c r="L246" s="32" t="s">
        <v>904</v>
      </c>
      <c r="M246" s="31">
        <f>258</f>
        <v>258</v>
      </c>
      <c r="N246" s="32" t="s">
        <v>810</v>
      </c>
      <c r="O246" s="31">
        <f>242</f>
        <v>242</v>
      </c>
      <c r="P246" s="32" t="s">
        <v>935</v>
      </c>
      <c r="Q246" s="31">
        <f>247.5</f>
        <v>247.5</v>
      </c>
      <c r="R246" s="32" t="s">
        <v>936</v>
      </c>
      <c r="S246" s="33">
        <f>251.22</f>
        <v>251.22</v>
      </c>
      <c r="T246" s="30">
        <f>24400</f>
        <v>24400</v>
      </c>
      <c r="U246" s="30" t="str">
        <f>"－"</f>
        <v>－</v>
      </c>
      <c r="V246" s="30">
        <f>6202438</f>
        <v>6202438</v>
      </c>
      <c r="W246" s="30" t="str">
        <f>"－"</f>
        <v>－</v>
      </c>
      <c r="X246" s="34">
        <f>18</f>
        <v>18</v>
      </c>
    </row>
    <row r="247" spans="1:24" x14ac:dyDescent="0.15">
      <c r="A247" s="25" t="s">
        <v>1006</v>
      </c>
      <c r="B247" s="25" t="s">
        <v>778</v>
      </c>
      <c r="C247" s="25" t="s">
        <v>779</v>
      </c>
      <c r="D247" s="25" t="s">
        <v>780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2961</f>
        <v>2961</v>
      </c>
      <c r="L247" s="32" t="s">
        <v>904</v>
      </c>
      <c r="M247" s="31">
        <f>3166</f>
        <v>3166</v>
      </c>
      <c r="N247" s="32" t="s">
        <v>816</v>
      </c>
      <c r="O247" s="31">
        <f>2892.5</f>
        <v>2892.5</v>
      </c>
      <c r="P247" s="32" t="s">
        <v>909</v>
      </c>
      <c r="Q247" s="31">
        <f>2964.5</f>
        <v>2964.5</v>
      </c>
      <c r="R247" s="32" t="s">
        <v>818</v>
      </c>
      <c r="S247" s="33">
        <f>3047.95</f>
        <v>3047.95</v>
      </c>
      <c r="T247" s="30">
        <f>3021810</f>
        <v>3021810</v>
      </c>
      <c r="U247" s="30">
        <f>1350000</f>
        <v>1350000</v>
      </c>
      <c r="V247" s="30">
        <f>9127784480</f>
        <v>9127784480</v>
      </c>
      <c r="W247" s="30">
        <f>4055062500</f>
        <v>4055062500</v>
      </c>
      <c r="X247" s="34">
        <f>22</f>
        <v>22</v>
      </c>
    </row>
    <row r="248" spans="1:24" x14ac:dyDescent="0.15">
      <c r="A248" s="25" t="s">
        <v>1006</v>
      </c>
      <c r="B248" s="25" t="s">
        <v>781</v>
      </c>
      <c r="C248" s="25" t="s">
        <v>782</v>
      </c>
      <c r="D248" s="25" t="s">
        <v>783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2277.5</f>
        <v>2277.5</v>
      </c>
      <c r="L248" s="32" t="s">
        <v>904</v>
      </c>
      <c r="M248" s="31">
        <f>2409</f>
        <v>2409</v>
      </c>
      <c r="N248" s="32" t="s">
        <v>906</v>
      </c>
      <c r="O248" s="31">
        <f>2172</f>
        <v>2172</v>
      </c>
      <c r="P248" s="32" t="s">
        <v>818</v>
      </c>
      <c r="Q248" s="31">
        <f>2188.5</f>
        <v>2188.5</v>
      </c>
      <c r="R248" s="32" t="s">
        <v>818</v>
      </c>
      <c r="S248" s="33">
        <f>2308.77</f>
        <v>2308.77</v>
      </c>
      <c r="T248" s="30">
        <f>4605360</f>
        <v>4605360</v>
      </c>
      <c r="U248" s="30">
        <f>1442000</f>
        <v>1442000</v>
      </c>
      <c r="V248" s="30">
        <f>10629311977</f>
        <v>10629311977</v>
      </c>
      <c r="W248" s="30">
        <f>3401749352</f>
        <v>3401749352</v>
      </c>
      <c r="X248" s="34">
        <f>22</f>
        <v>22</v>
      </c>
    </row>
    <row r="249" spans="1:24" x14ac:dyDescent="0.15">
      <c r="A249" s="25" t="s">
        <v>1006</v>
      </c>
      <c r="B249" s="25" t="s">
        <v>784</v>
      </c>
      <c r="C249" s="25" t="s">
        <v>785</v>
      </c>
      <c r="D249" s="25" t="s">
        <v>786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</v>
      </c>
      <c r="K249" s="31">
        <f>3005</f>
        <v>3005</v>
      </c>
      <c r="L249" s="32" t="s">
        <v>904</v>
      </c>
      <c r="M249" s="31">
        <f>3115</f>
        <v>3115</v>
      </c>
      <c r="N249" s="32" t="s">
        <v>936</v>
      </c>
      <c r="O249" s="31">
        <f>2949</f>
        <v>2949</v>
      </c>
      <c r="P249" s="32" t="s">
        <v>909</v>
      </c>
      <c r="Q249" s="31">
        <f>3100</f>
        <v>3100</v>
      </c>
      <c r="R249" s="32" t="s">
        <v>818</v>
      </c>
      <c r="S249" s="33">
        <f>3040.14</f>
        <v>3040.14</v>
      </c>
      <c r="T249" s="30">
        <f>4833559</f>
        <v>4833559</v>
      </c>
      <c r="U249" s="30">
        <f>4283579</f>
        <v>4283579</v>
      </c>
      <c r="V249" s="30">
        <f>14719355405</f>
        <v>14719355405</v>
      </c>
      <c r="W249" s="30">
        <f>13063034620</f>
        <v>13063034620</v>
      </c>
      <c r="X249" s="34">
        <f>22</f>
        <v>22</v>
      </c>
    </row>
    <row r="250" spans="1:24" x14ac:dyDescent="0.15">
      <c r="A250" s="25" t="s">
        <v>1006</v>
      </c>
      <c r="B250" s="25" t="s">
        <v>787</v>
      </c>
      <c r="C250" s="25" t="s">
        <v>788</v>
      </c>
      <c r="D250" s="25" t="s">
        <v>789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1754</f>
        <v>1754</v>
      </c>
      <c r="L250" s="32" t="s">
        <v>904</v>
      </c>
      <c r="M250" s="31">
        <f>1802</f>
        <v>1802</v>
      </c>
      <c r="N250" s="32" t="s">
        <v>909</v>
      </c>
      <c r="O250" s="31">
        <f>1646</f>
        <v>1646</v>
      </c>
      <c r="P250" s="32" t="s">
        <v>815</v>
      </c>
      <c r="Q250" s="31">
        <f>1678</f>
        <v>1678</v>
      </c>
      <c r="R250" s="32" t="s">
        <v>818</v>
      </c>
      <c r="S250" s="33">
        <f>1714.41</f>
        <v>1714.41</v>
      </c>
      <c r="T250" s="30">
        <f>3699272</f>
        <v>3699272</v>
      </c>
      <c r="U250" s="30">
        <f>2417605</f>
        <v>2417605</v>
      </c>
      <c r="V250" s="30">
        <f>6298404795</f>
        <v>6298404795</v>
      </c>
      <c r="W250" s="30">
        <f>4108694511</f>
        <v>4108694511</v>
      </c>
      <c r="X250" s="34">
        <f>22</f>
        <v>22</v>
      </c>
    </row>
    <row r="251" spans="1:24" x14ac:dyDescent="0.15">
      <c r="A251" s="25" t="s">
        <v>1006</v>
      </c>
      <c r="B251" s="25" t="s">
        <v>790</v>
      </c>
      <c r="C251" s="25" t="s">
        <v>791</v>
      </c>
      <c r="D251" s="25" t="s">
        <v>792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1940</f>
        <v>1940</v>
      </c>
      <c r="L251" s="32" t="s">
        <v>904</v>
      </c>
      <c r="M251" s="31">
        <f>2015</f>
        <v>2015</v>
      </c>
      <c r="N251" s="32" t="s">
        <v>819</v>
      </c>
      <c r="O251" s="31">
        <f>1893</f>
        <v>1893</v>
      </c>
      <c r="P251" s="32" t="s">
        <v>936</v>
      </c>
      <c r="Q251" s="31">
        <f>1907</f>
        <v>1907</v>
      </c>
      <c r="R251" s="32" t="s">
        <v>818</v>
      </c>
      <c r="S251" s="33">
        <f>1942.77</f>
        <v>1942.77</v>
      </c>
      <c r="T251" s="30">
        <f>161758</f>
        <v>161758</v>
      </c>
      <c r="U251" s="30">
        <f>130000</f>
        <v>130000</v>
      </c>
      <c r="V251" s="30">
        <f>314938346</f>
        <v>314938346</v>
      </c>
      <c r="W251" s="30">
        <f>253389984</f>
        <v>253389984</v>
      </c>
      <c r="X251" s="34">
        <f>22</f>
        <v>22</v>
      </c>
    </row>
    <row r="252" spans="1:24" x14ac:dyDescent="0.15">
      <c r="A252" s="25" t="s">
        <v>1006</v>
      </c>
      <c r="B252" s="25" t="s">
        <v>793</v>
      </c>
      <c r="C252" s="25" t="s">
        <v>794</v>
      </c>
      <c r="D252" s="25" t="s">
        <v>795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2291</f>
        <v>2291</v>
      </c>
      <c r="L252" s="32" t="s">
        <v>907</v>
      </c>
      <c r="M252" s="31">
        <f>2340</f>
        <v>2340</v>
      </c>
      <c r="N252" s="32" t="s">
        <v>906</v>
      </c>
      <c r="O252" s="31">
        <f>2193</f>
        <v>2193</v>
      </c>
      <c r="P252" s="32" t="s">
        <v>818</v>
      </c>
      <c r="Q252" s="31">
        <f>2194</f>
        <v>2194</v>
      </c>
      <c r="R252" s="32" t="s">
        <v>818</v>
      </c>
      <c r="S252" s="33">
        <f>2248.79</f>
        <v>2248.79</v>
      </c>
      <c r="T252" s="30">
        <f>7233</f>
        <v>7233</v>
      </c>
      <c r="U252" s="30" t="str">
        <f>"－"</f>
        <v>－</v>
      </c>
      <c r="V252" s="30">
        <f>16416578</f>
        <v>16416578</v>
      </c>
      <c r="W252" s="30" t="str">
        <f>"－"</f>
        <v>－</v>
      </c>
      <c r="X252" s="34">
        <f>19</f>
        <v>19</v>
      </c>
    </row>
    <row r="253" spans="1:24" x14ac:dyDescent="0.15">
      <c r="A253" s="25" t="s">
        <v>1006</v>
      </c>
      <c r="B253" s="25" t="s">
        <v>796</v>
      </c>
      <c r="C253" s="25" t="s">
        <v>797</v>
      </c>
      <c r="D253" s="25" t="s">
        <v>798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2788</f>
        <v>2788</v>
      </c>
      <c r="L253" s="32" t="s">
        <v>904</v>
      </c>
      <c r="M253" s="31">
        <f>2929</f>
        <v>2929</v>
      </c>
      <c r="N253" s="32" t="s">
        <v>819</v>
      </c>
      <c r="O253" s="31">
        <f>2762</f>
        <v>2762</v>
      </c>
      <c r="P253" s="32" t="s">
        <v>909</v>
      </c>
      <c r="Q253" s="31">
        <f>2819</f>
        <v>2819</v>
      </c>
      <c r="R253" s="32" t="s">
        <v>818</v>
      </c>
      <c r="S253" s="33">
        <f>2843.05</f>
        <v>2843.05</v>
      </c>
      <c r="T253" s="30">
        <f>1980150</f>
        <v>1980150</v>
      </c>
      <c r="U253" s="30">
        <f>1464000</f>
        <v>1464000</v>
      </c>
      <c r="V253" s="30">
        <f>5561111769</f>
        <v>5561111769</v>
      </c>
      <c r="W253" s="30">
        <f>4094606400</f>
        <v>4094606400</v>
      </c>
      <c r="X253" s="34">
        <f>22</f>
        <v>22</v>
      </c>
    </row>
    <row r="254" spans="1:24" x14ac:dyDescent="0.15">
      <c r="A254" s="25" t="s">
        <v>1006</v>
      </c>
      <c r="B254" s="25" t="s">
        <v>799</v>
      </c>
      <c r="C254" s="25" t="s">
        <v>800</v>
      </c>
      <c r="D254" s="25" t="s">
        <v>801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1942</f>
        <v>1942</v>
      </c>
      <c r="L254" s="32" t="s">
        <v>904</v>
      </c>
      <c r="M254" s="31">
        <f>2010</f>
        <v>2010</v>
      </c>
      <c r="N254" s="32" t="s">
        <v>819</v>
      </c>
      <c r="O254" s="31">
        <f>1926</f>
        <v>1926</v>
      </c>
      <c r="P254" s="32" t="s">
        <v>909</v>
      </c>
      <c r="Q254" s="31">
        <f>1965</f>
        <v>1965</v>
      </c>
      <c r="R254" s="32" t="s">
        <v>818</v>
      </c>
      <c r="S254" s="33">
        <f>1966.14</f>
        <v>1966.14</v>
      </c>
      <c r="T254" s="30">
        <f>436570</f>
        <v>436570</v>
      </c>
      <c r="U254" s="30">
        <f>35251</f>
        <v>35251</v>
      </c>
      <c r="V254" s="30">
        <f>858494398</f>
        <v>858494398</v>
      </c>
      <c r="W254" s="30">
        <f>69655565</f>
        <v>69655565</v>
      </c>
      <c r="X254" s="34">
        <f>22</f>
        <v>22</v>
      </c>
    </row>
    <row r="255" spans="1:24" x14ac:dyDescent="0.15">
      <c r="A255" s="25" t="s">
        <v>1006</v>
      </c>
      <c r="B255" s="25" t="s">
        <v>802</v>
      </c>
      <c r="C255" s="25" t="s">
        <v>803</v>
      </c>
      <c r="D255" s="25" t="s">
        <v>804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1941</f>
        <v>1941</v>
      </c>
      <c r="L255" s="32" t="s">
        <v>904</v>
      </c>
      <c r="M255" s="31">
        <f>1990</f>
        <v>1990</v>
      </c>
      <c r="N255" s="32" t="s">
        <v>816</v>
      </c>
      <c r="O255" s="31">
        <f>1879</f>
        <v>1879</v>
      </c>
      <c r="P255" s="32" t="s">
        <v>936</v>
      </c>
      <c r="Q255" s="31">
        <f>1908</f>
        <v>1908</v>
      </c>
      <c r="R255" s="32" t="s">
        <v>818</v>
      </c>
      <c r="S255" s="33">
        <f>1936.41</f>
        <v>1936.41</v>
      </c>
      <c r="T255" s="30">
        <f>100828</f>
        <v>100828</v>
      </c>
      <c r="U255" s="30" t="str">
        <f>"－"</f>
        <v>－</v>
      </c>
      <c r="V255" s="30">
        <f>196170886</f>
        <v>196170886</v>
      </c>
      <c r="W255" s="30" t="str">
        <f>"－"</f>
        <v>－</v>
      </c>
      <c r="X255" s="34">
        <f>22</f>
        <v>22</v>
      </c>
    </row>
    <row r="256" spans="1:24" x14ac:dyDescent="0.15">
      <c r="A256" s="25" t="s">
        <v>1006</v>
      </c>
      <c r="B256" s="25" t="s">
        <v>805</v>
      </c>
      <c r="C256" s="25" t="s">
        <v>806</v>
      </c>
      <c r="D256" s="25" t="s">
        <v>807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1579</f>
        <v>1579</v>
      </c>
      <c r="L256" s="32" t="s">
        <v>904</v>
      </c>
      <c r="M256" s="31">
        <f>1642</f>
        <v>1642</v>
      </c>
      <c r="N256" s="32" t="s">
        <v>819</v>
      </c>
      <c r="O256" s="31">
        <f>1504</f>
        <v>1504</v>
      </c>
      <c r="P256" s="32" t="s">
        <v>936</v>
      </c>
      <c r="Q256" s="31">
        <f>1555</f>
        <v>1555</v>
      </c>
      <c r="R256" s="32" t="s">
        <v>818</v>
      </c>
      <c r="S256" s="33">
        <f>1587.45</f>
        <v>1587.45</v>
      </c>
      <c r="T256" s="30">
        <f>35903</f>
        <v>35903</v>
      </c>
      <c r="U256" s="30" t="str">
        <f>"－"</f>
        <v>－</v>
      </c>
      <c r="V256" s="30">
        <f>57392827</f>
        <v>57392827</v>
      </c>
      <c r="W256" s="30" t="str">
        <f>"－"</f>
        <v>－</v>
      </c>
      <c r="X256" s="34">
        <f>22</f>
        <v>22</v>
      </c>
    </row>
    <row r="257" spans="1:24" x14ac:dyDescent="0.15">
      <c r="A257" s="25" t="s">
        <v>1006</v>
      </c>
      <c r="B257" s="25" t="s">
        <v>824</v>
      </c>
      <c r="C257" s="25" t="s">
        <v>825</v>
      </c>
      <c r="D257" s="25" t="s">
        <v>826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2168</f>
        <v>2168</v>
      </c>
      <c r="L257" s="32" t="s">
        <v>904</v>
      </c>
      <c r="M257" s="31">
        <f>2374</f>
        <v>2374</v>
      </c>
      <c r="N257" s="32" t="s">
        <v>911</v>
      </c>
      <c r="O257" s="31">
        <f>2107</f>
        <v>2107</v>
      </c>
      <c r="P257" s="32" t="s">
        <v>936</v>
      </c>
      <c r="Q257" s="31">
        <f>2130</f>
        <v>2130</v>
      </c>
      <c r="R257" s="32" t="s">
        <v>818</v>
      </c>
      <c r="S257" s="33">
        <f>2239.45</f>
        <v>2239.4499999999998</v>
      </c>
      <c r="T257" s="30">
        <f>12310</f>
        <v>12310</v>
      </c>
      <c r="U257" s="30" t="str">
        <f>"－"</f>
        <v>－</v>
      </c>
      <c r="V257" s="30">
        <f>27468053</f>
        <v>27468053</v>
      </c>
      <c r="W257" s="30" t="str">
        <f>"－"</f>
        <v>－</v>
      </c>
      <c r="X257" s="34">
        <f>22</f>
        <v>22</v>
      </c>
    </row>
    <row r="258" spans="1:24" x14ac:dyDescent="0.15">
      <c r="A258" s="25" t="s">
        <v>1006</v>
      </c>
      <c r="B258" s="25" t="s">
        <v>827</v>
      </c>
      <c r="C258" s="25" t="s">
        <v>828</v>
      </c>
      <c r="D258" s="25" t="s">
        <v>829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2500</f>
        <v>2500</v>
      </c>
      <c r="L258" s="32" t="s">
        <v>904</v>
      </c>
      <c r="M258" s="31">
        <f>2570</f>
        <v>2570</v>
      </c>
      <c r="N258" s="32" t="s">
        <v>816</v>
      </c>
      <c r="O258" s="31">
        <f>2390</f>
        <v>2390</v>
      </c>
      <c r="P258" s="32" t="s">
        <v>909</v>
      </c>
      <c r="Q258" s="31">
        <f>2529</f>
        <v>2529</v>
      </c>
      <c r="R258" s="32" t="s">
        <v>818</v>
      </c>
      <c r="S258" s="33">
        <f>2506.18</f>
        <v>2506.1799999999998</v>
      </c>
      <c r="T258" s="30">
        <f>4221</f>
        <v>4221</v>
      </c>
      <c r="U258" s="30" t="str">
        <f>"－"</f>
        <v>－</v>
      </c>
      <c r="V258" s="30">
        <f>10592692</f>
        <v>10592692</v>
      </c>
      <c r="W258" s="30" t="str">
        <f>"－"</f>
        <v>－</v>
      </c>
      <c r="X258" s="34">
        <f>22</f>
        <v>22</v>
      </c>
    </row>
    <row r="259" spans="1:24" x14ac:dyDescent="0.15">
      <c r="A259" s="25" t="s">
        <v>1006</v>
      </c>
      <c r="B259" s="25" t="s">
        <v>830</v>
      </c>
      <c r="C259" s="25" t="s">
        <v>831</v>
      </c>
      <c r="D259" s="25" t="s">
        <v>832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10460</f>
        <v>10460</v>
      </c>
      <c r="L259" s="32" t="s">
        <v>904</v>
      </c>
      <c r="M259" s="31">
        <f>10950</f>
        <v>10950</v>
      </c>
      <c r="N259" s="32" t="s">
        <v>819</v>
      </c>
      <c r="O259" s="31">
        <f>10110</f>
        <v>10110</v>
      </c>
      <c r="P259" s="32" t="s">
        <v>818</v>
      </c>
      <c r="Q259" s="31">
        <f>10175</f>
        <v>10175</v>
      </c>
      <c r="R259" s="32" t="s">
        <v>818</v>
      </c>
      <c r="S259" s="33">
        <f>10565.68</f>
        <v>10565.68</v>
      </c>
      <c r="T259" s="30">
        <f>469194</f>
        <v>469194</v>
      </c>
      <c r="U259" s="30">
        <f>206000</f>
        <v>206000</v>
      </c>
      <c r="V259" s="30">
        <f>4853452065</f>
        <v>4853452065</v>
      </c>
      <c r="W259" s="30">
        <f>2095363470</f>
        <v>2095363470</v>
      </c>
      <c r="X259" s="34">
        <f>22</f>
        <v>22</v>
      </c>
    </row>
    <row r="260" spans="1:24" x14ac:dyDescent="0.15">
      <c r="A260" s="25" t="s">
        <v>1006</v>
      </c>
      <c r="B260" s="25" t="s">
        <v>833</v>
      </c>
      <c r="C260" s="25" t="s">
        <v>834</v>
      </c>
      <c r="D260" s="25" t="s">
        <v>835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12365</f>
        <v>12365</v>
      </c>
      <c r="L260" s="32" t="s">
        <v>904</v>
      </c>
      <c r="M260" s="31">
        <f>13220</f>
        <v>13220</v>
      </c>
      <c r="N260" s="32" t="s">
        <v>816</v>
      </c>
      <c r="O260" s="31">
        <f>12075</f>
        <v>12075</v>
      </c>
      <c r="P260" s="32" t="s">
        <v>909</v>
      </c>
      <c r="Q260" s="31">
        <f>12390</f>
        <v>12390</v>
      </c>
      <c r="R260" s="32" t="s">
        <v>818</v>
      </c>
      <c r="S260" s="33">
        <f>12725</f>
        <v>12725</v>
      </c>
      <c r="T260" s="30">
        <f>1098228</f>
        <v>1098228</v>
      </c>
      <c r="U260" s="30">
        <f>242000</f>
        <v>242000</v>
      </c>
      <c r="V260" s="30">
        <f>13931917870</f>
        <v>13931917870</v>
      </c>
      <c r="W260" s="30">
        <f>3056654400</f>
        <v>3056654400</v>
      </c>
      <c r="X260" s="34">
        <f>22</f>
        <v>22</v>
      </c>
    </row>
    <row r="261" spans="1:24" x14ac:dyDescent="0.15">
      <c r="A261" s="25" t="s">
        <v>1006</v>
      </c>
      <c r="B261" s="25" t="s">
        <v>836</v>
      </c>
      <c r="C261" s="25" t="s">
        <v>837</v>
      </c>
      <c r="D261" s="25" t="s">
        <v>838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9542</f>
        <v>9542</v>
      </c>
      <c r="L261" s="32" t="s">
        <v>904</v>
      </c>
      <c r="M261" s="31">
        <f>10090</f>
        <v>10090</v>
      </c>
      <c r="N261" s="32" t="s">
        <v>819</v>
      </c>
      <c r="O261" s="31">
        <f>9114</f>
        <v>9114</v>
      </c>
      <c r="P261" s="32" t="s">
        <v>818</v>
      </c>
      <c r="Q261" s="31">
        <f>9183</f>
        <v>9183</v>
      </c>
      <c r="R261" s="32" t="s">
        <v>818</v>
      </c>
      <c r="S261" s="33">
        <f>9675.64</f>
        <v>9675.64</v>
      </c>
      <c r="T261" s="30">
        <f>832222</f>
        <v>832222</v>
      </c>
      <c r="U261" s="30">
        <f>254001</f>
        <v>254001</v>
      </c>
      <c r="V261" s="30">
        <f>7921084564</f>
        <v>7921084564</v>
      </c>
      <c r="W261" s="30">
        <f>2333996416</f>
        <v>2333996416</v>
      </c>
      <c r="X261" s="34">
        <f>22</f>
        <v>22</v>
      </c>
    </row>
    <row r="262" spans="1:24" x14ac:dyDescent="0.15">
      <c r="A262" s="25" t="s">
        <v>1006</v>
      </c>
      <c r="B262" s="25" t="s">
        <v>839</v>
      </c>
      <c r="C262" s="25" t="s">
        <v>840</v>
      </c>
      <c r="D262" s="25" t="s">
        <v>841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2550</f>
        <v>2550</v>
      </c>
      <c r="L262" s="32" t="s">
        <v>904</v>
      </c>
      <c r="M262" s="31">
        <f>2714.5</f>
        <v>2714.5</v>
      </c>
      <c r="N262" s="32" t="s">
        <v>816</v>
      </c>
      <c r="O262" s="31">
        <f>2486.5</f>
        <v>2486.5</v>
      </c>
      <c r="P262" s="32" t="s">
        <v>909</v>
      </c>
      <c r="Q262" s="31">
        <f>2586</f>
        <v>2586</v>
      </c>
      <c r="R262" s="32" t="s">
        <v>818</v>
      </c>
      <c r="S262" s="33">
        <f>2616.82</f>
        <v>2616.8200000000002</v>
      </c>
      <c r="T262" s="30">
        <f>2208070</f>
        <v>2208070</v>
      </c>
      <c r="U262" s="30">
        <f>702460</f>
        <v>702460</v>
      </c>
      <c r="V262" s="30">
        <f>5758031624</f>
        <v>5758031624</v>
      </c>
      <c r="W262" s="30">
        <f>1837930994</f>
        <v>1837930994</v>
      </c>
      <c r="X262" s="34">
        <f>22</f>
        <v>22</v>
      </c>
    </row>
    <row r="263" spans="1:24" x14ac:dyDescent="0.15">
      <c r="A263" s="25" t="s">
        <v>1006</v>
      </c>
      <c r="B263" s="25" t="s">
        <v>842</v>
      </c>
      <c r="C263" s="25" t="s">
        <v>843</v>
      </c>
      <c r="D263" s="25" t="s">
        <v>844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2059.5</f>
        <v>2059.5</v>
      </c>
      <c r="L263" s="32" t="s">
        <v>904</v>
      </c>
      <c r="M263" s="31">
        <f>2155</f>
        <v>2155</v>
      </c>
      <c r="N263" s="32" t="s">
        <v>819</v>
      </c>
      <c r="O263" s="31">
        <f>1991</f>
        <v>1991</v>
      </c>
      <c r="P263" s="32" t="s">
        <v>818</v>
      </c>
      <c r="Q263" s="31">
        <f>2003.5</f>
        <v>2003.5</v>
      </c>
      <c r="R263" s="32" t="s">
        <v>818</v>
      </c>
      <c r="S263" s="33">
        <f>2080.39</f>
        <v>2080.39</v>
      </c>
      <c r="T263" s="30">
        <f>5515670</f>
        <v>5515670</v>
      </c>
      <c r="U263" s="30">
        <f>3645670</f>
        <v>3645670</v>
      </c>
      <c r="V263" s="30">
        <f>11394205845</f>
        <v>11394205845</v>
      </c>
      <c r="W263" s="30">
        <f>7538268470</f>
        <v>7538268470</v>
      </c>
      <c r="X263" s="34">
        <f>22</f>
        <v>22</v>
      </c>
    </row>
    <row r="264" spans="1:24" x14ac:dyDescent="0.15">
      <c r="A264" s="25" t="s">
        <v>1006</v>
      </c>
      <c r="B264" s="25" t="s">
        <v>845</v>
      </c>
      <c r="C264" s="25" t="s">
        <v>846</v>
      </c>
      <c r="D264" s="25" t="s">
        <v>847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2620.5</f>
        <v>2620.5</v>
      </c>
      <c r="L264" s="32" t="s">
        <v>904</v>
      </c>
      <c r="M264" s="31">
        <f>2787</f>
        <v>2787</v>
      </c>
      <c r="N264" s="32" t="s">
        <v>816</v>
      </c>
      <c r="O264" s="31">
        <f>2550</f>
        <v>2550</v>
      </c>
      <c r="P264" s="32" t="s">
        <v>909</v>
      </c>
      <c r="Q264" s="31">
        <f>2644.5</f>
        <v>2644.5</v>
      </c>
      <c r="R264" s="32" t="s">
        <v>818</v>
      </c>
      <c r="S264" s="33">
        <f>2682.8</f>
        <v>2682.8</v>
      </c>
      <c r="T264" s="30">
        <f>187130</f>
        <v>187130</v>
      </c>
      <c r="U264" s="30" t="str">
        <f t="shared" ref="U264:U275" si="12">"－"</f>
        <v>－</v>
      </c>
      <c r="V264" s="30">
        <f>495311785</f>
        <v>495311785</v>
      </c>
      <c r="W264" s="30" t="str">
        <f t="shared" ref="W264:W275" si="13">"－"</f>
        <v>－</v>
      </c>
      <c r="X264" s="34">
        <f>22</f>
        <v>22</v>
      </c>
    </row>
    <row r="265" spans="1:24" x14ac:dyDescent="0.15">
      <c r="A265" s="25" t="s">
        <v>1006</v>
      </c>
      <c r="B265" s="25" t="s">
        <v>848</v>
      </c>
      <c r="C265" s="25" t="s">
        <v>849</v>
      </c>
      <c r="D265" s="25" t="s">
        <v>850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2575</f>
        <v>2575</v>
      </c>
      <c r="L265" s="32" t="s">
        <v>904</v>
      </c>
      <c r="M265" s="31">
        <f>2684</f>
        <v>2684</v>
      </c>
      <c r="N265" s="32" t="s">
        <v>819</v>
      </c>
      <c r="O265" s="31">
        <f>2547</f>
        <v>2547</v>
      </c>
      <c r="P265" s="32" t="s">
        <v>936</v>
      </c>
      <c r="Q265" s="31">
        <f>2571</f>
        <v>2571</v>
      </c>
      <c r="R265" s="32" t="s">
        <v>818</v>
      </c>
      <c r="S265" s="33">
        <f>2613.05</f>
        <v>2613.0500000000002</v>
      </c>
      <c r="T265" s="30">
        <f>1279</f>
        <v>1279</v>
      </c>
      <c r="U265" s="30" t="str">
        <f t="shared" si="12"/>
        <v>－</v>
      </c>
      <c r="V265" s="30">
        <f>3359465</f>
        <v>3359465</v>
      </c>
      <c r="W265" s="30" t="str">
        <f t="shared" si="13"/>
        <v>－</v>
      </c>
      <c r="X265" s="34">
        <f>21</f>
        <v>21</v>
      </c>
    </row>
    <row r="266" spans="1:24" x14ac:dyDescent="0.15">
      <c r="A266" s="25" t="s">
        <v>1006</v>
      </c>
      <c r="B266" s="25" t="s">
        <v>851</v>
      </c>
      <c r="C266" s="25" t="s">
        <v>852</v>
      </c>
      <c r="D266" s="25" t="s">
        <v>853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1565</f>
        <v>1565</v>
      </c>
      <c r="L266" s="32" t="s">
        <v>904</v>
      </c>
      <c r="M266" s="31">
        <f>1649</f>
        <v>1649</v>
      </c>
      <c r="N266" s="32" t="s">
        <v>816</v>
      </c>
      <c r="O266" s="31">
        <f>1546</f>
        <v>1546</v>
      </c>
      <c r="P266" s="32" t="s">
        <v>909</v>
      </c>
      <c r="Q266" s="31">
        <f>1606</f>
        <v>1606</v>
      </c>
      <c r="R266" s="32" t="s">
        <v>818</v>
      </c>
      <c r="S266" s="33">
        <f>1600.32</f>
        <v>1600.32</v>
      </c>
      <c r="T266" s="30">
        <f>107255</f>
        <v>107255</v>
      </c>
      <c r="U266" s="30" t="str">
        <f t="shared" si="12"/>
        <v>－</v>
      </c>
      <c r="V266" s="30">
        <f>172623549</f>
        <v>172623549</v>
      </c>
      <c r="W266" s="30" t="str">
        <f t="shared" si="13"/>
        <v>－</v>
      </c>
      <c r="X266" s="34">
        <f>22</f>
        <v>22</v>
      </c>
    </row>
    <row r="267" spans="1:24" x14ac:dyDescent="0.15">
      <c r="A267" s="25" t="s">
        <v>1006</v>
      </c>
      <c r="B267" s="25" t="s">
        <v>854</v>
      </c>
      <c r="C267" s="25" t="s">
        <v>855</v>
      </c>
      <c r="D267" s="25" t="s">
        <v>856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1960</f>
        <v>1960</v>
      </c>
      <c r="L267" s="32" t="s">
        <v>904</v>
      </c>
      <c r="M267" s="31">
        <f>2099</f>
        <v>2099</v>
      </c>
      <c r="N267" s="32" t="s">
        <v>819</v>
      </c>
      <c r="O267" s="31">
        <f>1899</f>
        <v>1899</v>
      </c>
      <c r="P267" s="32" t="s">
        <v>936</v>
      </c>
      <c r="Q267" s="31">
        <f>1995</f>
        <v>1995</v>
      </c>
      <c r="R267" s="32" t="s">
        <v>818</v>
      </c>
      <c r="S267" s="33">
        <f>2022.64</f>
        <v>2022.64</v>
      </c>
      <c r="T267" s="30">
        <f>226133</f>
        <v>226133</v>
      </c>
      <c r="U267" s="30" t="str">
        <f t="shared" si="12"/>
        <v>－</v>
      </c>
      <c r="V267" s="30">
        <f>457404983</f>
        <v>457404983</v>
      </c>
      <c r="W267" s="30" t="str">
        <f t="shared" si="13"/>
        <v>－</v>
      </c>
      <c r="X267" s="34">
        <f>22</f>
        <v>22</v>
      </c>
    </row>
    <row r="268" spans="1:24" x14ac:dyDescent="0.15">
      <c r="A268" s="25" t="s">
        <v>1006</v>
      </c>
      <c r="B268" s="25" t="s">
        <v>857</v>
      </c>
      <c r="C268" s="25" t="s">
        <v>858</v>
      </c>
      <c r="D268" s="25" t="s">
        <v>859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1692</f>
        <v>1692</v>
      </c>
      <c r="L268" s="32" t="s">
        <v>904</v>
      </c>
      <c r="M268" s="31">
        <f>1741</f>
        <v>1741</v>
      </c>
      <c r="N268" s="32" t="s">
        <v>819</v>
      </c>
      <c r="O268" s="31">
        <f>1634</f>
        <v>1634</v>
      </c>
      <c r="P268" s="32" t="s">
        <v>905</v>
      </c>
      <c r="Q268" s="31">
        <f>1665</f>
        <v>1665</v>
      </c>
      <c r="R268" s="32" t="s">
        <v>818</v>
      </c>
      <c r="S268" s="33">
        <f>1684.05</f>
        <v>1684.05</v>
      </c>
      <c r="T268" s="30">
        <f>68772</f>
        <v>68772</v>
      </c>
      <c r="U268" s="30" t="str">
        <f t="shared" si="12"/>
        <v>－</v>
      </c>
      <c r="V268" s="30">
        <f>116698738</f>
        <v>116698738</v>
      </c>
      <c r="W268" s="30" t="str">
        <f t="shared" si="13"/>
        <v>－</v>
      </c>
      <c r="X268" s="34">
        <f>22</f>
        <v>22</v>
      </c>
    </row>
    <row r="269" spans="1:24" x14ac:dyDescent="0.15">
      <c r="A269" s="25" t="s">
        <v>1006</v>
      </c>
      <c r="B269" s="25" t="s">
        <v>860</v>
      </c>
      <c r="C269" s="25" t="s">
        <v>861</v>
      </c>
      <c r="D269" s="25" t="s">
        <v>862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2673</f>
        <v>2673</v>
      </c>
      <c r="L269" s="32" t="s">
        <v>904</v>
      </c>
      <c r="M269" s="31">
        <f>2770</f>
        <v>2770</v>
      </c>
      <c r="N269" s="32" t="s">
        <v>816</v>
      </c>
      <c r="O269" s="31">
        <f>2595</f>
        <v>2595</v>
      </c>
      <c r="P269" s="32" t="s">
        <v>936</v>
      </c>
      <c r="Q269" s="31">
        <f>2637</f>
        <v>2637</v>
      </c>
      <c r="R269" s="32" t="s">
        <v>818</v>
      </c>
      <c r="S269" s="33">
        <f>2673.45</f>
        <v>2673.45</v>
      </c>
      <c r="T269" s="30">
        <f>37384</f>
        <v>37384</v>
      </c>
      <c r="U269" s="30" t="str">
        <f t="shared" si="12"/>
        <v>－</v>
      </c>
      <c r="V269" s="30">
        <f>99881503</f>
        <v>99881503</v>
      </c>
      <c r="W269" s="30" t="str">
        <f t="shared" si="13"/>
        <v>－</v>
      </c>
      <c r="X269" s="34">
        <f>22</f>
        <v>22</v>
      </c>
    </row>
    <row r="270" spans="1:24" x14ac:dyDescent="0.15">
      <c r="A270" s="25" t="s">
        <v>1006</v>
      </c>
      <c r="B270" s="25" t="s">
        <v>863</v>
      </c>
      <c r="C270" s="25" t="s">
        <v>864</v>
      </c>
      <c r="D270" s="25" t="s">
        <v>865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2027</f>
        <v>2027</v>
      </c>
      <c r="L270" s="32" t="s">
        <v>904</v>
      </c>
      <c r="M270" s="31">
        <f>2112</f>
        <v>2112</v>
      </c>
      <c r="N270" s="32" t="s">
        <v>819</v>
      </c>
      <c r="O270" s="31">
        <f>2006</f>
        <v>2006</v>
      </c>
      <c r="P270" s="32" t="s">
        <v>909</v>
      </c>
      <c r="Q270" s="31">
        <f>2045</f>
        <v>2045</v>
      </c>
      <c r="R270" s="32" t="s">
        <v>818</v>
      </c>
      <c r="S270" s="33">
        <f>2058.68</f>
        <v>2058.6799999999998</v>
      </c>
      <c r="T270" s="30">
        <f>73859</f>
        <v>73859</v>
      </c>
      <c r="U270" s="30" t="str">
        <f t="shared" si="12"/>
        <v>－</v>
      </c>
      <c r="V270" s="30">
        <f>151881646</f>
        <v>151881646</v>
      </c>
      <c r="W270" s="30" t="str">
        <f t="shared" si="13"/>
        <v>－</v>
      </c>
      <c r="X270" s="34">
        <f>22</f>
        <v>22</v>
      </c>
    </row>
    <row r="271" spans="1:24" x14ac:dyDescent="0.15">
      <c r="A271" s="25" t="s">
        <v>1006</v>
      </c>
      <c r="B271" s="25" t="s">
        <v>866</v>
      </c>
      <c r="C271" s="25" t="s">
        <v>867</v>
      </c>
      <c r="D271" s="25" t="s">
        <v>868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25840</f>
        <v>25840</v>
      </c>
      <c r="L271" s="32" t="s">
        <v>904</v>
      </c>
      <c r="M271" s="31">
        <f>26420</f>
        <v>26420</v>
      </c>
      <c r="N271" s="32" t="s">
        <v>816</v>
      </c>
      <c r="O271" s="31">
        <f>25500</f>
        <v>25500</v>
      </c>
      <c r="P271" s="32" t="s">
        <v>909</v>
      </c>
      <c r="Q271" s="31">
        <f>25690</f>
        <v>25690</v>
      </c>
      <c r="R271" s="32" t="s">
        <v>936</v>
      </c>
      <c r="S271" s="33">
        <f>25916.58</f>
        <v>25916.58</v>
      </c>
      <c r="T271" s="30">
        <f>73</f>
        <v>73</v>
      </c>
      <c r="U271" s="30" t="str">
        <f t="shared" si="12"/>
        <v>－</v>
      </c>
      <c r="V271" s="30">
        <f>1892815</f>
        <v>1892815</v>
      </c>
      <c r="W271" s="30" t="str">
        <f t="shared" si="13"/>
        <v>－</v>
      </c>
      <c r="X271" s="34">
        <f>19</f>
        <v>19</v>
      </c>
    </row>
    <row r="272" spans="1:24" x14ac:dyDescent="0.15">
      <c r="A272" s="25" t="s">
        <v>1006</v>
      </c>
      <c r="B272" s="25" t="s">
        <v>869</v>
      </c>
      <c r="C272" s="25" t="s">
        <v>870</v>
      </c>
      <c r="D272" s="25" t="s">
        <v>871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2029</f>
        <v>2029</v>
      </c>
      <c r="L272" s="32" t="s">
        <v>904</v>
      </c>
      <c r="M272" s="31">
        <f>2085</f>
        <v>2085</v>
      </c>
      <c r="N272" s="32" t="s">
        <v>819</v>
      </c>
      <c r="O272" s="31">
        <f>2000</f>
        <v>2000</v>
      </c>
      <c r="P272" s="32" t="s">
        <v>811</v>
      </c>
      <c r="Q272" s="31">
        <f>2021</f>
        <v>2021</v>
      </c>
      <c r="R272" s="32" t="s">
        <v>818</v>
      </c>
      <c r="S272" s="33">
        <f>2038.45</f>
        <v>2038.45</v>
      </c>
      <c r="T272" s="30">
        <f>17471</f>
        <v>17471</v>
      </c>
      <c r="U272" s="30" t="str">
        <f t="shared" si="12"/>
        <v>－</v>
      </c>
      <c r="V272" s="30">
        <f>35727052</f>
        <v>35727052</v>
      </c>
      <c r="W272" s="30" t="str">
        <f t="shared" si="13"/>
        <v>－</v>
      </c>
      <c r="X272" s="34">
        <f>20</f>
        <v>20</v>
      </c>
    </row>
    <row r="273" spans="1:24" x14ac:dyDescent="0.15">
      <c r="A273" s="25" t="s">
        <v>1006</v>
      </c>
      <c r="B273" s="25" t="s">
        <v>872</v>
      </c>
      <c r="C273" s="25" t="s">
        <v>873</v>
      </c>
      <c r="D273" s="25" t="s">
        <v>874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2052</f>
        <v>2052</v>
      </c>
      <c r="L273" s="32" t="s">
        <v>904</v>
      </c>
      <c r="M273" s="31">
        <f>2182</f>
        <v>2182</v>
      </c>
      <c r="N273" s="32" t="s">
        <v>816</v>
      </c>
      <c r="O273" s="31">
        <f>1910</f>
        <v>1910</v>
      </c>
      <c r="P273" s="32" t="s">
        <v>936</v>
      </c>
      <c r="Q273" s="31">
        <f>2082</f>
        <v>2082</v>
      </c>
      <c r="R273" s="32" t="s">
        <v>818</v>
      </c>
      <c r="S273" s="33">
        <f>2119.77</f>
        <v>2119.77</v>
      </c>
      <c r="T273" s="30">
        <f>332755</f>
        <v>332755</v>
      </c>
      <c r="U273" s="30" t="str">
        <f t="shared" si="12"/>
        <v>－</v>
      </c>
      <c r="V273" s="30">
        <f>708068034</f>
        <v>708068034</v>
      </c>
      <c r="W273" s="30" t="str">
        <f t="shared" si="13"/>
        <v>－</v>
      </c>
      <c r="X273" s="34">
        <f>22</f>
        <v>22</v>
      </c>
    </row>
    <row r="274" spans="1:24" x14ac:dyDescent="0.15">
      <c r="A274" s="25" t="s">
        <v>1006</v>
      </c>
      <c r="B274" s="25" t="s">
        <v>875</v>
      </c>
      <c r="C274" s="25" t="s">
        <v>876</v>
      </c>
      <c r="D274" s="25" t="s">
        <v>877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1822</f>
        <v>1822</v>
      </c>
      <c r="L274" s="32" t="s">
        <v>904</v>
      </c>
      <c r="M274" s="31">
        <f>1924</f>
        <v>1924</v>
      </c>
      <c r="N274" s="32" t="s">
        <v>816</v>
      </c>
      <c r="O274" s="31">
        <f>1809</f>
        <v>1809</v>
      </c>
      <c r="P274" s="32" t="s">
        <v>936</v>
      </c>
      <c r="Q274" s="31">
        <f>1844</f>
        <v>1844</v>
      </c>
      <c r="R274" s="32" t="s">
        <v>818</v>
      </c>
      <c r="S274" s="33">
        <f>1871.14</f>
        <v>1871.14</v>
      </c>
      <c r="T274" s="30">
        <f>21396</f>
        <v>21396</v>
      </c>
      <c r="U274" s="30" t="str">
        <f t="shared" si="12"/>
        <v>－</v>
      </c>
      <c r="V274" s="30">
        <f>40385649</f>
        <v>40385649</v>
      </c>
      <c r="W274" s="30" t="str">
        <f t="shared" si="13"/>
        <v>－</v>
      </c>
      <c r="X274" s="34">
        <f>22</f>
        <v>22</v>
      </c>
    </row>
    <row r="275" spans="1:24" x14ac:dyDescent="0.15">
      <c r="A275" s="25" t="s">
        <v>1006</v>
      </c>
      <c r="B275" s="25" t="s">
        <v>878</v>
      </c>
      <c r="C275" s="25" t="s">
        <v>879</v>
      </c>
      <c r="D275" s="25" t="s">
        <v>880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1343</f>
        <v>1343</v>
      </c>
      <c r="L275" s="32" t="s">
        <v>904</v>
      </c>
      <c r="M275" s="31">
        <f>1405</f>
        <v>1405</v>
      </c>
      <c r="N275" s="32" t="s">
        <v>812</v>
      </c>
      <c r="O275" s="31">
        <f>1315</f>
        <v>1315</v>
      </c>
      <c r="P275" s="32" t="s">
        <v>907</v>
      </c>
      <c r="Q275" s="31">
        <f>1386</f>
        <v>1386</v>
      </c>
      <c r="R275" s="32" t="s">
        <v>818</v>
      </c>
      <c r="S275" s="33">
        <f>1364.32</f>
        <v>1364.32</v>
      </c>
      <c r="T275" s="30">
        <f>19421</f>
        <v>19421</v>
      </c>
      <c r="U275" s="30" t="str">
        <f t="shared" si="12"/>
        <v>－</v>
      </c>
      <c r="V275" s="30">
        <f>26717057</f>
        <v>26717057</v>
      </c>
      <c r="W275" s="30" t="str">
        <f t="shared" si="13"/>
        <v>－</v>
      </c>
      <c r="X275" s="34">
        <f>22</f>
        <v>22</v>
      </c>
    </row>
    <row r="276" spans="1:24" x14ac:dyDescent="0.15">
      <c r="A276" s="25" t="s">
        <v>1006</v>
      </c>
      <c r="B276" s="25" t="s">
        <v>881</v>
      </c>
      <c r="C276" s="25" t="s">
        <v>882</v>
      </c>
      <c r="D276" s="25" t="s">
        <v>883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5402</f>
        <v>5402</v>
      </c>
      <c r="L276" s="32" t="s">
        <v>904</v>
      </c>
      <c r="M276" s="31">
        <f>5459</f>
        <v>5459</v>
      </c>
      <c r="N276" s="32" t="s">
        <v>818</v>
      </c>
      <c r="O276" s="31">
        <f>5320</f>
        <v>5320</v>
      </c>
      <c r="P276" s="32" t="s">
        <v>813</v>
      </c>
      <c r="Q276" s="31">
        <f>5459</f>
        <v>5459</v>
      </c>
      <c r="R276" s="32" t="s">
        <v>818</v>
      </c>
      <c r="S276" s="33">
        <f>5405.11</f>
        <v>5405.11</v>
      </c>
      <c r="T276" s="30">
        <f>165110</f>
        <v>165110</v>
      </c>
      <c r="U276" s="30">
        <f>81140</f>
        <v>81140</v>
      </c>
      <c r="V276" s="30">
        <f>892223450</f>
        <v>892223450</v>
      </c>
      <c r="W276" s="30">
        <f>439616000</f>
        <v>439616000</v>
      </c>
      <c r="X276" s="34">
        <f>18</f>
        <v>18</v>
      </c>
    </row>
    <row r="277" spans="1:24" x14ac:dyDescent="0.15">
      <c r="A277" s="25" t="s">
        <v>1006</v>
      </c>
      <c r="B277" s="25" t="s">
        <v>884</v>
      </c>
      <c r="C277" s="25" t="s">
        <v>885</v>
      </c>
      <c r="D277" s="25" t="s">
        <v>886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4560</f>
        <v>4560</v>
      </c>
      <c r="L277" s="32" t="s">
        <v>904</v>
      </c>
      <c r="M277" s="31">
        <f>4601</f>
        <v>4601</v>
      </c>
      <c r="N277" s="32" t="s">
        <v>909</v>
      </c>
      <c r="O277" s="31">
        <f>4384</f>
        <v>4384</v>
      </c>
      <c r="P277" s="32" t="s">
        <v>818</v>
      </c>
      <c r="Q277" s="31">
        <f>4384</f>
        <v>4384</v>
      </c>
      <c r="R277" s="32" t="s">
        <v>818</v>
      </c>
      <c r="S277" s="33">
        <f>4482.05</f>
        <v>4482.05</v>
      </c>
      <c r="T277" s="30">
        <f>3081410</f>
        <v>3081410</v>
      </c>
      <c r="U277" s="30">
        <f>2888250</f>
        <v>2888250</v>
      </c>
      <c r="V277" s="30">
        <f>13673607030</f>
        <v>13673607030</v>
      </c>
      <c r="W277" s="30">
        <f>12807885600</f>
        <v>12807885600</v>
      </c>
      <c r="X277" s="34">
        <f>19</f>
        <v>19</v>
      </c>
    </row>
    <row r="278" spans="1:24" x14ac:dyDescent="0.15">
      <c r="A278" s="25" t="s">
        <v>1006</v>
      </c>
      <c r="B278" s="25" t="s">
        <v>887</v>
      </c>
      <c r="C278" s="25" t="s">
        <v>888</v>
      </c>
      <c r="D278" s="25" t="s">
        <v>889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744.4</f>
        <v>744.4</v>
      </c>
      <c r="L278" s="32" t="s">
        <v>811</v>
      </c>
      <c r="M278" s="31">
        <f>749.7</f>
        <v>749.7</v>
      </c>
      <c r="N278" s="32" t="s">
        <v>810</v>
      </c>
      <c r="O278" s="31">
        <f>730.6</f>
        <v>730.6</v>
      </c>
      <c r="P278" s="32" t="s">
        <v>818</v>
      </c>
      <c r="Q278" s="31">
        <f>740.1</f>
        <v>740.1</v>
      </c>
      <c r="R278" s="32" t="s">
        <v>818</v>
      </c>
      <c r="S278" s="33">
        <f>742.14</f>
        <v>742.14</v>
      </c>
      <c r="T278" s="30">
        <f>65850</f>
        <v>65850</v>
      </c>
      <c r="U278" s="30">
        <f>33000</f>
        <v>33000</v>
      </c>
      <c r="V278" s="30">
        <f>48757470</f>
        <v>48757470</v>
      </c>
      <c r="W278" s="30">
        <f>24553188</f>
        <v>24553188</v>
      </c>
      <c r="X278" s="34">
        <f>9</f>
        <v>9</v>
      </c>
    </row>
    <row r="279" spans="1:24" x14ac:dyDescent="0.15">
      <c r="A279" s="25" t="s">
        <v>1006</v>
      </c>
      <c r="B279" s="25" t="s">
        <v>891</v>
      </c>
      <c r="C279" s="25" t="s">
        <v>892</v>
      </c>
      <c r="D279" s="25" t="s">
        <v>893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2097</f>
        <v>2097</v>
      </c>
      <c r="L279" s="32" t="s">
        <v>904</v>
      </c>
      <c r="M279" s="31">
        <f>2215</f>
        <v>2215</v>
      </c>
      <c r="N279" s="32" t="s">
        <v>819</v>
      </c>
      <c r="O279" s="31">
        <f>2030</f>
        <v>2030</v>
      </c>
      <c r="P279" s="32" t="s">
        <v>936</v>
      </c>
      <c r="Q279" s="31">
        <f>2098</f>
        <v>2098</v>
      </c>
      <c r="R279" s="32" t="s">
        <v>818</v>
      </c>
      <c r="S279" s="33">
        <f>2145.27</f>
        <v>2145.27</v>
      </c>
      <c r="T279" s="30">
        <f>72309</f>
        <v>72309</v>
      </c>
      <c r="U279" s="30" t="str">
        <f>"－"</f>
        <v>－</v>
      </c>
      <c r="V279" s="30">
        <f>154839502</f>
        <v>154839502</v>
      </c>
      <c r="W279" s="30" t="str">
        <f>"－"</f>
        <v>－</v>
      </c>
      <c r="X279" s="34">
        <f>22</f>
        <v>22</v>
      </c>
    </row>
    <row r="280" spans="1:24" x14ac:dyDescent="0.15">
      <c r="A280" s="25" t="s">
        <v>1006</v>
      </c>
      <c r="B280" s="25" t="s">
        <v>894</v>
      </c>
      <c r="C280" s="25" t="s">
        <v>895</v>
      </c>
      <c r="D280" s="25" t="s">
        <v>896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1925</f>
        <v>1925</v>
      </c>
      <c r="L280" s="32" t="s">
        <v>904</v>
      </c>
      <c r="M280" s="31">
        <f>2016</f>
        <v>2016</v>
      </c>
      <c r="N280" s="32" t="s">
        <v>816</v>
      </c>
      <c r="O280" s="31">
        <f>1856</f>
        <v>1856</v>
      </c>
      <c r="P280" s="32" t="s">
        <v>936</v>
      </c>
      <c r="Q280" s="31">
        <f>1913</f>
        <v>1913</v>
      </c>
      <c r="R280" s="32" t="s">
        <v>818</v>
      </c>
      <c r="S280" s="33">
        <f>1958</f>
        <v>1958</v>
      </c>
      <c r="T280" s="30">
        <f>121414</f>
        <v>121414</v>
      </c>
      <c r="U280" s="30">
        <f>100000</f>
        <v>100000</v>
      </c>
      <c r="V280" s="30">
        <f>241169386</f>
        <v>241169386</v>
      </c>
      <c r="W280" s="30">
        <f>199185000</f>
        <v>199185000</v>
      </c>
      <c r="X280" s="34">
        <f>22</f>
        <v>22</v>
      </c>
    </row>
    <row r="281" spans="1:24" x14ac:dyDescent="0.15">
      <c r="A281" s="25" t="s">
        <v>1006</v>
      </c>
      <c r="B281" s="25" t="s">
        <v>897</v>
      </c>
      <c r="C281" s="25" t="s">
        <v>898</v>
      </c>
      <c r="D281" s="25" t="s">
        <v>899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8063</f>
        <v>8063</v>
      </c>
      <c r="L281" s="32" t="s">
        <v>904</v>
      </c>
      <c r="M281" s="31">
        <f>8119</f>
        <v>8119</v>
      </c>
      <c r="N281" s="32" t="s">
        <v>911</v>
      </c>
      <c r="O281" s="31">
        <f>7907</f>
        <v>7907</v>
      </c>
      <c r="P281" s="32" t="s">
        <v>813</v>
      </c>
      <c r="Q281" s="31">
        <f>8092</f>
        <v>8092</v>
      </c>
      <c r="R281" s="32" t="s">
        <v>818</v>
      </c>
      <c r="S281" s="33">
        <f>8047.77</f>
        <v>8047.77</v>
      </c>
      <c r="T281" s="30">
        <f>40432</f>
        <v>40432</v>
      </c>
      <c r="U281" s="30">
        <f>37195</f>
        <v>37195</v>
      </c>
      <c r="V281" s="30">
        <f>326859760</f>
        <v>326859760</v>
      </c>
      <c r="W281" s="30">
        <f>300766853</f>
        <v>300766853</v>
      </c>
      <c r="X281" s="34">
        <f>22</f>
        <v>22</v>
      </c>
    </row>
    <row r="282" spans="1:24" x14ac:dyDescent="0.15">
      <c r="A282" s="25" t="s">
        <v>1006</v>
      </c>
      <c r="B282" s="25" t="s">
        <v>900</v>
      </c>
      <c r="C282" s="25" t="s">
        <v>901</v>
      </c>
      <c r="D282" s="25" t="s">
        <v>902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6788</f>
        <v>6788</v>
      </c>
      <c r="L282" s="32" t="s">
        <v>904</v>
      </c>
      <c r="M282" s="31">
        <f>6861</f>
        <v>6861</v>
      </c>
      <c r="N282" s="32" t="s">
        <v>909</v>
      </c>
      <c r="O282" s="31">
        <f>6519</f>
        <v>6519</v>
      </c>
      <c r="P282" s="32" t="s">
        <v>936</v>
      </c>
      <c r="Q282" s="31">
        <f>6520</f>
        <v>6520</v>
      </c>
      <c r="R282" s="32" t="s">
        <v>818</v>
      </c>
      <c r="S282" s="33">
        <f>6658.55</f>
        <v>6658.55</v>
      </c>
      <c r="T282" s="30">
        <f>25572</f>
        <v>25572</v>
      </c>
      <c r="U282" s="30">
        <f>23826</f>
        <v>23826</v>
      </c>
      <c r="V282" s="30">
        <f>170289378</f>
        <v>170289378</v>
      </c>
      <c r="W282" s="30">
        <f>158528671</f>
        <v>158528671</v>
      </c>
      <c r="X282" s="34">
        <f>20</f>
        <v>20</v>
      </c>
    </row>
    <row r="283" spans="1:24" x14ac:dyDescent="0.15">
      <c r="A283" s="25" t="s">
        <v>1006</v>
      </c>
      <c r="B283" s="25" t="s">
        <v>916</v>
      </c>
      <c r="C283" s="25" t="s">
        <v>917</v>
      </c>
      <c r="D283" s="25" t="s">
        <v>918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16225</f>
        <v>16225</v>
      </c>
      <c r="L283" s="32" t="s">
        <v>904</v>
      </c>
      <c r="M283" s="31">
        <f>17345</f>
        <v>17345</v>
      </c>
      <c r="N283" s="32" t="s">
        <v>816</v>
      </c>
      <c r="O283" s="31">
        <f>15840</f>
        <v>15840</v>
      </c>
      <c r="P283" s="32" t="s">
        <v>909</v>
      </c>
      <c r="Q283" s="31">
        <f>16245</f>
        <v>16245</v>
      </c>
      <c r="R283" s="32" t="s">
        <v>818</v>
      </c>
      <c r="S283" s="33">
        <f>16693.18</f>
        <v>16693.18</v>
      </c>
      <c r="T283" s="30">
        <f>119338</f>
        <v>119338</v>
      </c>
      <c r="U283" s="30" t="str">
        <f>"－"</f>
        <v>－</v>
      </c>
      <c r="V283" s="30">
        <f>1972924525</f>
        <v>1972924525</v>
      </c>
      <c r="W283" s="30" t="str">
        <f>"－"</f>
        <v>－</v>
      </c>
      <c r="X283" s="34">
        <f>22</f>
        <v>22</v>
      </c>
    </row>
    <row r="284" spans="1:24" x14ac:dyDescent="0.15">
      <c r="A284" s="25" t="s">
        <v>1006</v>
      </c>
      <c r="B284" s="25" t="s">
        <v>920</v>
      </c>
      <c r="C284" s="25" t="s">
        <v>921</v>
      </c>
      <c r="D284" s="25" t="s">
        <v>922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8991</f>
        <v>8991</v>
      </c>
      <c r="L284" s="32" t="s">
        <v>904</v>
      </c>
      <c r="M284" s="31">
        <f>9506</f>
        <v>9506</v>
      </c>
      <c r="N284" s="32" t="s">
        <v>906</v>
      </c>
      <c r="O284" s="31">
        <f>8577</f>
        <v>8577</v>
      </c>
      <c r="P284" s="32" t="s">
        <v>818</v>
      </c>
      <c r="Q284" s="31">
        <f>8640</f>
        <v>8640</v>
      </c>
      <c r="R284" s="32" t="s">
        <v>818</v>
      </c>
      <c r="S284" s="33">
        <f>9108.32</f>
        <v>9108.32</v>
      </c>
      <c r="T284" s="30">
        <f>481736</f>
        <v>481736</v>
      </c>
      <c r="U284" s="30">
        <f>242004</f>
        <v>242004</v>
      </c>
      <c r="V284" s="30">
        <f>4426066016</f>
        <v>4426066016</v>
      </c>
      <c r="W284" s="30">
        <f>2270612534</f>
        <v>2270612534</v>
      </c>
      <c r="X284" s="34">
        <f>22</f>
        <v>22</v>
      </c>
    </row>
    <row r="285" spans="1:24" x14ac:dyDescent="0.15">
      <c r="A285" s="25" t="s">
        <v>1006</v>
      </c>
      <c r="B285" s="25" t="s">
        <v>923</v>
      </c>
      <c r="C285" s="25" t="s">
        <v>924</v>
      </c>
      <c r="D285" s="25" t="s">
        <v>925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28975</f>
        <v>28975</v>
      </c>
      <c r="L285" s="32" t="s">
        <v>904</v>
      </c>
      <c r="M285" s="31">
        <f>30170</f>
        <v>30170</v>
      </c>
      <c r="N285" s="32" t="s">
        <v>818</v>
      </c>
      <c r="O285" s="31">
        <f>27340</f>
        <v>27340</v>
      </c>
      <c r="P285" s="32" t="s">
        <v>906</v>
      </c>
      <c r="Q285" s="31">
        <f>29970</f>
        <v>29970</v>
      </c>
      <c r="R285" s="32" t="s">
        <v>818</v>
      </c>
      <c r="S285" s="33">
        <f>28552.27</f>
        <v>28552.27</v>
      </c>
      <c r="T285" s="30">
        <f>347570</f>
        <v>347570</v>
      </c>
      <c r="U285" s="30">
        <f>15800</f>
        <v>15800</v>
      </c>
      <c r="V285" s="30">
        <f>10042966342</f>
        <v>10042966342</v>
      </c>
      <c r="W285" s="30">
        <f>447305977</f>
        <v>447305977</v>
      </c>
      <c r="X285" s="34">
        <f>22</f>
        <v>22</v>
      </c>
    </row>
    <row r="286" spans="1:24" x14ac:dyDescent="0.15">
      <c r="A286" s="25" t="s">
        <v>1006</v>
      </c>
      <c r="B286" s="25" t="s">
        <v>926</v>
      </c>
      <c r="C286" s="25" t="s">
        <v>927</v>
      </c>
      <c r="D286" s="25" t="s">
        <v>928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4942</f>
        <v>4942</v>
      </c>
      <c r="L286" s="32" t="s">
        <v>909</v>
      </c>
      <c r="M286" s="31">
        <f>4942</f>
        <v>4942</v>
      </c>
      <c r="N286" s="32" t="s">
        <v>909</v>
      </c>
      <c r="O286" s="31">
        <f>4440</f>
        <v>4440</v>
      </c>
      <c r="P286" s="32" t="s">
        <v>936</v>
      </c>
      <c r="Q286" s="31">
        <f>4440</f>
        <v>4440</v>
      </c>
      <c r="R286" s="32" t="s">
        <v>936</v>
      </c>
      <c r="S286" s="33">
        <f>4552.27</f>
        <v>4552.2700000000004</v>
      </c>
      <c r="T286" s="30">
        <f>1270</f>
        <v>1270</v>
      </c>
      <c r="U286" s="30" t="str">
        <f>"－"</f>
        <v>－</v>
      </c>
      <c r="V286" s="30">
        <f>5865950</f>
        <v>5865950</v>
      </c>
      <c r="W286" s="30" t="str">
        <f>"－"</f>
        <v>－</v>
      </c>
      <c r="X286" s="34">
        <f>11</f>
        <v>11</v>
      </c>
    </row>
    <row r="287" spans="1:24" x14ac:dyDescent="0.15">
      <c r="A287" s="25" t="s">
        <v>1006</v>
      </c>
      <c r="B287" s="25" t="s">
        <v>930</v>
      </c>
      <c r="C287" s="25" t="s">
        <v>931</v>
      </c>
      <c r="D287" s="25" t="s">
        <v>932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5236</f>
        <v>5236</v>
      </c>
      <c r="L287" s="32" t="s">
        <v>904</v>
      </c>
      <c r="M287" s="31">
        <f>5300</f>
        <v>5300</v>
      </c>
      <c r="N287" s="32" t="s">
        <v>911</v>
      </c>
      <c r="O287" s="31">
        <f>5137</f>
        <v>5137</v>
      </c>
      <c r="P287" s="32" t="s">
        <v>815</v>
      </c>
      <c r="Q287" s="31">
        <f>5199</f>
        <v>5199</v>
      </c>
      <c r="R287" s="32" t="s">
        <v>812</v>
      </c>
      <c r="S287" s="33">
        <f>5214.69</f>
        <v>5214.6899999999996</v>
      </c>
      <c r="T287" s="30">
        <f>99370</f>
        <v>99370</v>
      </c>
      <c r="U287" s="30">
        <f>70000</f>
        <v>70000</v>
      </c>
      <c r="V287" s="30">
        <f>521949858</f>
        <v>521949858</v>
      </c>
      <c r="W287" s="30">
        <f>368401488</f>
        <v>368401488</v>
      </c>
      <c r="X287" s="34">
        <f>13</f>
        <v>13</v>
      </c>
    </row>
    <row r="288" spans="1:24" x14ac:dyDescent="0.15">
      <c r="A288" s="25" t="s">
        <v>1006</v>
      </c>
      <c r="B288" s="25" t="s">
        <v>949</v>
      </c>
      <c r="C288" s="25" t="s">
        <v>950</v>
      </c>
      <c r="D288" s="25" t="s">
        <v>951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1873</f>
        <v>1873</v>
      </c>
      <c r="L288" s="32" t="s">
        <v>904</v>
      </c>
      <c r="M288" s="31">
        <f>1976.5</f>
        <v>1976.5</v>
      </c>
      <c r="N288" s="32" t="s">
        <v>819</v>
      </c>
      <c r="O288" s="31">
        <f>1785.5</f>
        <v>1785.5</v>
      </c>
      <c r="P288" s="32" t="s">
        <v>818</v>
      </c>
      <c r="Q288" s="31">
        <f>1800</f>
        <v>1800</v>
      </c>
      <c r="R288" s="32" t="s">
        <v>818</v>
      </c>
      <c r="S288" s="33">
        <f>1897.11</f>
        <v>1897.11</v>
      </c>
      <c r="T288" s="30">
        <f>859770</f>
        <v>859770</v>
      </c>
      <c r="U288" s="30" t="str">
        <f>"－"</f>
        <v>－</v>
      </c>
      <c r="V288" s="30">
        <f>1608874005</f>
        <v>1608874005</v>
      </c>
      <c r="W288" s="30" t="str">
        <f>"－"</f>
        <v>－</v>
      </c>
      <c r="X288" s="34">
        <f>22</f>
        <v>22</v>
      </c>
    </row>
    <row r="289" spans="1:24" x14ac:dyDescent="0.15">
      <c r="A289" s="25" t="s">
        <v>1006</v>
      </c>
      <c r="B289" s="25" t="s">
        <v>953</v>
      </c>
      <c r="C289" s="25" t="s">
        <v>954</v>
      </c>
      <c r="D289" s="25" t="s">
        <v>955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1902.5</f>
        <v>1902.5</v>
      </c>
      <c r="L289" s="32" t="s">
        <v>904</v>
      </c>
      <c r="M289" s="31">
        <f>1996.5</f>
        <v>1996.5</v>
      </c>
      <c r="N289" s="32" t="s">
        <v>819</v>
      </c>
      <c r="O289" s="31">
        <f>1860</f>
        <v>1860</v>
      </c>
      <c r="P289" s="32" t="s">
        <v>818</v>
      </c>
      <c r="Q289" s="31">
        <f>1867</f>
        <v>1867</v>
      </c>
      <c r="R289" s="32" t="s">
        <v>818</v>
      </c>
      <c r="S289" s="33">
        <f>1932.41</f>
        <v>1932.41</v>
      </c>
      <c r="T289" s="30">
        <f>2730440</f>
        <v>2730440</v>
      </c>
      <c r="U289" s="30">
        <f>1796500</f>
        <v>1796500</v>
      </c>
      <c r="V289" s="30">
        <f>5382671745</f>
        <v>5382671745</v>
      </c>
      <c r="W289" s="30">
        <f>3560382375</f>
        <v>3560382375</v>
      </c>
      <c r="X289" s="34">
        <f>22</f>
        <v>22</v>
      </c>
    </row>
    <row r="290" spans="1:24" x14ac:dyDescent="0.15">
      <c r="A290" s="25" t="s">
        <v>1006</v>
      </c>
      <c r="B290" s="25" t="s">
        <v>956</v>
      </c>
      <c r="C290" s="25" t="s">
        <v>957</v>
      </c>
      <c r="D290" s="25" t="s">
        <v>958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1550</f>
        <v>1550</v>
      </c>
      <c r="L290" s="32" t="s">
        <v>904</v>
      </c>
      <c r="M290" s="31">
        <f>1616</f>
        <v>1616</v>
      </c>
      <c r="N290" s="32" t="s">
        <v>816</v>
      </c>
      <c r="O290" s="31">
        <f>1547</f>
        <v>1547</v>
      </c>
      <c r="P290" s="32" t="s">
        <v>905</v>
      </c>
      <c r="Q290" s="31">
        <f>1585</f>
        <v>1585</v>
      </c>
      <c r="R290" s="32" t="s">
        <v>818</v>
      </c>
      <c r="S290" s="33">
        <f>1583.5</f>
        <v>1583.5</v>
      </c>
      <c r="T290" s="30">
        <f>146127</f>
        <v>146127</v>
      </c>
      <c r="U290" s="30" t="str">
        <f t="shared" ref="U290:U295" si="14">"－"</f>
        <v>－</v>
      </c>
      <c r="V290" s="30">
        <f>230590595</f>
        <v>230590595</v>
      </c>
      <c r="W290" s="30" t="str">
        <f t="shared" ref="W290:W295" si="15">"－"</f>
        <v>－</v>
      </c>
      <c r="X290" s="34">
        <f>22</f>
        <v>22</v>
      </c>
    </row>
    <row r="291" spans="1:24" x14ac:dyDescent="0.15">
      <c r="A291" s="25" t="s">
        <v>1006</v>
      </c>
      <c r="B291" s="25" t="s">
        <v>960</v>
      </c>
      <c r="C291" s="25" t="s">
        <v>961</v>
      </c>
      <c r="D291" s="25" t="s">
        <v>962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1550</f>
        <v>1550</v>
      </c>
      <c r="L291" s="32" t="s">
        <v>904</v>
      </c>
      <c r="M291" s="31">
        <f>1605</f>
        <v>1605</v>
      </c>
      <c r="N291" s="32" t="s">
        <v>819</v>
      </c>
      <c r="O291" s="31">
        <f>1505</f>
        <v>1505</v>
      </c>
      <c r="P291" s="32" t="s">
        <v>936</v>
      </c>
      <c r="Q291" s="31">
        <f>1558</f>
        <v>1558</v>
      </c>
      <c r="R291" s="32" t="s">
        <v>818</v>
      </c>
      <c r="S291" s="33">
        <f>1568.14</f>
        <v>1568.14</v>
      </c>
      <c r="T291" s="30">
        <f>23616</f>
        <v>23616</v>
      </c>
      <c r="U291" s="30" t="str">
        <f t="shared" si="14"/>
        <v>－</v>
      </c>
      <c r="V291" s="30">
        <f>36946245</f>
        <v>36946245</v>
      </c>
      <c r="W291" s="30" t="str">
        <f t="shared" si="15"/>
        <v>－</v>
      </c>
      <c r="X291" s="34">
        <f>22</f>
        <v>22</v>
      </c>
    </row>
    <row r="292" spans="1:24" x14ac:dyDescent="0.15">
      <c r="A292" s="25" t="s">
        <v>1006</v>
      </c>
      <c r="B292" s="25" t="s">
        <v>963</v>
      </c>
      <c r="C292" s="25" t="s">
        <v>964</v>
      </c>
      <c r="D292" s="25" t="s">
        <v>965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3175</f>
        <v>3175</v>
      </c>
      <c r="L292" s="32" t="s">
        <v>904</v>
      </c>
      <c r="M292" s="31">
        <f>3210</f>
        <v>3210</v>
      </c>
      <c r="N292" s="32" t="s">
        <v>814</v>
      </c>
      <c r="O292" s="31">
        <f>3080</f>
        <v>3080</v>
      </c>
      <c r="P292" s="32" t="s">
        <v>811</v>
      </c>
      <c r="Q292" s="31">
        <f>3160</f>
        <v>3160</v>
      </c>
      <c r="R292" s="32" t="s">
        <v>818</v>
      </c>
      <c r="S292" s="33">
        <f>3150.68</f>
        <v>3150.68</v>
      </c>
      <c r="T292" s="30">
        <f>6957</f>
        <v>6957</v>
      </c>
      <c r="U292" s="30" t="str">
        <f t="shared" si="14"/>
        <v>－</v>
      </c>
      <c r="V292" s="30">
        <f>21788610</f>
        <v>21788610</v>
      </c>
      <c r="W292" s="30" t="str">
        <f t="shared" si="15"/>
        <v>－</v>
      </c>
      <c r="X292" s="34">
        <f>22</f>
        <v>22</v>
      </c>
    </row>
    <row r="293" spans="1:24" x14ac:dyDescent="0.15">
      <c r="A293" s="25" t="s">
        <v>1006</v>
      </c>
      <c r="B293" s="25" t="s">
        <v>967</v>
      </c>
      <c r="C293" s="25" t="s">
        <v>968</v>
      </c>
      <c r="D293" s="25" t="s">
        <v>969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1978</f>
        <v>1978</v>
      </c>
      <c r="L293" s="32" t="s">
        <v>909</v>
      </c>
      <c r="M293" s="31">
        <f>2078.5</f>
        <v>2078.5</v>
      </c>
      <c r="N293" s="32" t="s">
        <v>814</v>
      </c>
      <c r="O293" s="31">
        <f>1978</f>
        <v>1978</v>
      </c>
      <c r="P293" s="32" t="s">
        <v>909</v>
      </c>
      <c r="Q293" s="31">
        <f>1999</f>
        <v>1999</v>
      </c>
      <c r="R293" s="32" t="s">
        <v>818</v>
      </c>
      <c r="S293" s="33">
        <f>2029.7</f>
        <v>2029.7</v>
      </c>
      <c r="T293" s="30">
        <f>8150</f>
        <v>8150</v>
      </c>
      <c r="U293" s="30" t="str">
        <f t="shared" si="14"/>
        <v>－</v>
      </c>
      <c r="V293" s="30">
        <f>16229255</f>
        <v>16229255</v>
      </c>
      <c r="W293" s="30" t="str">
        <f t="shared" si="15"/>
        <v>－</v>
      </c>
      <c r="X293" s="34">
        <f>10</f>
        <v>10</v>
      </c>
    </row>
    <row r="294" spans="1:24" x14ac:dyDescent="0.15">
      <c r="A294" s="25" t="s">
        <v>1006</v>
      </c>
      <c r="B294" s="25" t="s">
        <v>982</v>
      </c>
      <c r="C294" s="25" t="s">
        <v>983</v>
      </c>
      <c r="D294" s="25" t="s">
        <v>984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202</f>
        <v>202</v>
      </c>
      <c r="L294" s="32" t="s">
        <v>904</v>
      </c>
      <c r="M294" s="31">
        <f>210</f>
        <v>210</v>
      </c>
      <c r="N294" s="32" t="s">
        <v>815</v>
      </c>
      <c r="O294" s="31">
        <f>197</f>
        <v>197</v>
      </c>
      <c r="P294" s="32" t="s">
        <v>904</v>
      </c>
      <c r="Q294" s="31">
        <f>199</f>
        <v>199</v>
      </c>
      <c r="R294" s="32" t="s">
        <v>818</v>
      </c>
      <c r="S294" s="33">
        <f>201.42</f>
        <v>201.42</v>
      </c>
      <c r="T294" s="30">
        <f>6480</f>
        <v>6480</v>
      </c>
      <c r="U294" s="30" t="str">
        <f t="shared" si="14"/>
        <v>－</v>
      </c>
      <c r="V294" s="30">
        <f>1304654</f>
        <v>1304654</v>
      </c>
      <c r="W294" s="30" t="str">
        <f t="shared" si="15"/>
        <v>－</v>
      </c>
      <c r="X294" s="34">
        <f>21</f>
        <v>21</v>
      </c>
    </row>
    <row r="295" spans="1:24" x14ac:dyDescent="0.15">
      <c r="A295" s="25" t="s">
        <v>1006</v>
      </c>
      <c r="B295" s="25" t="s">
        <v>972</v>
      </c>
      <c r="C295" s="25" t="s">
        <v>973</v>
      </c>
      <c r="D295" s="25" t="s">
        <v>974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204.5</f>
        <v>204.5</v>
      </c>
      <c r="L295" s="32" t="s">
        <v>904</v>
      </c>
      <c r="M295" s="31">
        <f>210</f>
        <v>210</v>
      </c>
      <c r="N295" s="32" t="s">
        <v>818</v>
      </c>
      <c r="O295" s="31">
        <f>200</f>
        <v>200</v>
      </c>
      <c r="P295" s="32" t="s">
        <v>906</v>
      </c>
      <c r="Q295" s="31">
        <f>206.1</f>
        <v>206.1</v>
      </c>
      <c r="R295" s="32" t="s">
        <v>818</v>
      </c>
      <c r="S295" s="33">
        <f>204.65</f>
        <v>204.65</v>
      </c>
      <c r="T295" s="30">
        <f>14620</f>
        <v>14620</v>
      </c>
      <c r="U295" s="30" t="str">
        <f t="shared" si="14"/>
        <v>－</v>
      </c>
      <c r="V295" s="30">
        <f>2994123</f>
        <v>2994123</v>
      </c>
      <c r="W295" s="30" t="str">
        <f t="shared" si="15"/>
        <v>－</v>
      </c>
      <c r="X295" s="34">
        <f>22</f>
        <v>22</v>
      </c>
    </row>
    <row r="296" spans="1:24" x14ac:dyDescent="0.15">
      <c r="A296" s="25" t="s">
        <v>1006</v>
      </c>
      <c r="B296" s="25" t="s">
        <v>976</v>
      </c>
      <c r="C296" s="25" t="s">
        <v>977</v>
      </c>
      <c r="D296" s="25" t="s">
        <v>978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800.3</f>
        <v>800.3</v>
      </c>
      <c r="L296" s="32" t="s">
        <v>904</v>
      </c>
      <c r="M296" s="31">
        <f>811.4</f>
        <v>811.4</v>
      </c>
      <c r="N296" s="32" t="s">
        <v>909</v>
      </c>
      <c r="O296" s="31">
        <f>760.6</f>
        <v>760.6</v>
      </c>
      <c r="P296" s="32" t="s">
        <v>818</v>
      </c>
      <c r="Q296" s="31">
        <f>760.6</f>
        <v>760.6</v>
      </c>
      <c r="R296" s="32" t="s">
        <v>818</v>
      </c>
      <c r="S296" s="33">
        <f>786.1</f>
        <v>786.1</v>
      </c>
      <c r="T296" s="30">
        <f>21360</f>
        <v>21360</v>
      </c>
      <c r="U296" s="30">
        <f>16530</f>
        <v>16530</v>
      </c>
      <c r="V296" s="30">
        <f>16795350</f>
        <v>16795350</v>
      </c>
      <c r="W296" s="30">
        <f>13049907</f>
        <v>13049907</v>
      </c>
      <c r="X296" s="34">
        <f>19</f>
        <v>19</v>
      </c>
    </row>
    <row r="297" spans="1:24" x14ac:dyDescent="0.15">
      <c r="A297" s="25" t="s">
        <v>1006</v>
      </c>
      <c r="B297" s="25" t="s">
        <v>986</v>
      </c>
      <c r="C297" s="25" t="s">
        <v>987</v>
      </c>
      <c r="D297" s="25" t="s">
        <v>988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1080</f>
        <v>1080</v>
      </c>
      <c r="L297" s="32" t="s">
        <v>904</v>
      </c>
      <c r="M297" s="31">
        <f>1139</f>
        <v>1139</v>
      </c>
      <c r="N297" s="32" t="s">
        <v>819</v>
      </c>
      <c r="O297" s="31">
        <f>1052</f>
        <v>1052</v>
      </c>
      <c r="P297" s="32" t="s">
        <v>936</v>
      </c>
      <c r="Q297" s="31">
        <f>1066</f>
        <v>1066</v>
      </c>
      <c r="R297" s="32" t="s">
        <v>818</v>
      </c>
      <c r="S297" s="33">
        <f>1101.09</f>
        <v>1101.0899999999999</v>
      </c>
      <c r="T297" s="30">
        <f>138982</f>
        <v>138982</v>
      </c>
      <c r="U297" s="30" t="str">
        <f>"－"</f>
        <v>－</v>
      </c>
      <c r="V297" s="30">
        <f>154944703</f>
        <v>154944703</v>
      </c>
      <c r="W297" s="30" t="str">
        <f>"－"</f>
        <v>－</v>
      </c>
      <c r="X297" s="34">
        <f>22</f>
        <v>22</v>
      </c>
    </row>
    <row r="298" spans="1:24" x14ac:dyDescent="0.15">
      <c r="A298" s="25" t="s">
        <v>1006</v>
      </c>
      <c r="B298" s="25" t="s">
        <v>990</v>
      </c>
      <c r="C298" s="25" t="s">
        <v>991</v>
      </c>
      <c r="D298" s="25" t="s">
        <v>992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1062</f>
        <v>1062</v>
      </c>
      <c r="L298" s="32" t="s">
        <v>904</v>
      </c>
      <c r="M298" s="31">
        <f>1084</f>
        <v>1084</v>
      </c>
      <c r="N298" s="32" t="s">
        <v>818</v>
      </c>
      <c r="O298" s="31">
        <f>1055</f>
        <v>1055</v>
      </c>
      <c r="P298" s="32" t="s">
        <v>907</v>
      </c>
      <c r="Q298" s="31">
        <f>1075</f>
        <v>1075</v>
      </c>
      <c r="R298" s="32" t="s">
        <v>818</v>
      </c>
      <c r="S298" s="33">
        <f>1066.14</f>
        <v>1066.1400000000001</v>
      </c>
      <c r="T298" s="30">
        <f>15883</f>
        <v>15883</v>
      </c>
      <c r="U298" s="30" t="str">
        <f>"－"</f>
        <v>－</v>
      </c>
      <c r="V298" s="30">
        <f>16929696</f>
        <v>16929696</v>
      </c>
      <c r="W298" s="30" t="str">
        <f>"－"</f>
        <v>－</v>
      </c>
      <c r="X298" s="34">
        <f>22</f>
        <v>22</v>
      </c>
    </row>
    <row r="299" spans="1:24" x14ac:dyDescent="0.15">
      <c r="A299" s="25" t="s">
        <v>1006</v>
      </c>
      <c r="B299" s="25" t="s">
        <v>995</v>
      </c>
      <c r="C299" s="25" t="s">
        <v>996</v>
      </c>
      <c r="D299" s="25" t="s">
        <v>997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806.3</f>
        <v>806.3</v>
      </c>
      <c r="L299" s="32" t="s">
        <v>904</v>
      </c>
      <c r="M299" s="31">
        <f>809.5</f>
        <v>809.5</v>
      </c>
      <c r="N299" s="32" t="s">
        <v>909</v>
      </c>
      <c r="O299" s="31">
        <f>783.6</f>
        <v>783.6</v>
      </c>
      <c r="P299" s="32" t="s">
        <v>818</v>
      </c>
      <c r="Q299" s="31">
        <f>784.4</f>
        <v>784.4</v>
      </c>
      <c r="R299" s="32" t="s">
        <v>818</v>
      </c>
      <c r="S299" s="33">
        <f>794.55</f>
        <v>794.55</v>
      </c>
      <c r="T299" s="30">
        <f>140790</f>
        <v>140790</v>
      </c>
      <c r="U299" s="30">
        <f>127000</f>
        <v>127000</v>
      </c>
      <c r="V299" s="30">
        <f>110726094</f>
        <v>110726094</v>
      </c>
      <c r="W299" s="30">
        <f>99695000</f>
        <v>99695000</v>
      </c>
      <c r="X299" s="34">
        <f>19</f>
        <v>19</v>
      </c>
    </row>
    <row r="300" spans="1:24" x14ac:dyDescent="0.15">
      <c r="A300" s="25" t="s">
        <v>1006</v>
      </c>
      <c r="B300" s="25" t="s">
        <v>999</v>
      </c>
      <c r="C300" s="25" t="s">
        <v>1000</v>
      </c>
      <c r="D300" s="25" t="s">
        <v>1001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816</f>
        <v>816</v>
      </c>
      <c r="L300" s="32" t="s">
        <v>904</v>
      </c>
      <c r="M300" s="31">
        <f>827.9</f>
        <v>827.9</v>
      </c>
      <c r="N300" s="32" t="s">
        <v>911</v>
      </c>
      <c r="O300" s="31">
        <f>770.2</f>
        <v>770.2</v>
      </c>
      <c r="P300" s="32" t="s">
        <v>934</v>
      </c>
      <c r="Q300" s="31">
        <f>778</f>
        <v>778</v>
      </c>
      <c r="R300" s="32" t="s">
        <v>934</v>
      </c>
      <c r="S300" s="33">
        <f>801.44</f>
        <v>801.44</v>
      </c>
      <c r="T300" s="30">
        <f>8293730</f>
        <v>8293730</v>
      </c>
      <c r="U300" s="30">
        <f>8136410</f>
        <v>8136410</v>
      </c>
      <c r="V300" s="30">
        <f>6771305935</f>
        <v>6771305935</v>
      </c>
      <c r="W300" s="30">
        <f>6645206757</f>
        <v>6645206757</v>
      </c>
      <c r="X300" s="34">
        <f>19</f>
        <v>19</v>
      </c>
    </row>
    <row r="301" spans="1:24" x14ac:dyDescent="0.15">
      <c r="A301" s="25" t="s">
        <v>1006</v>
      </c>
      <c r="B301" s="25" t="s">
        <v>1002</v>
      </c>
      <c r="C301" s="25" t="s">
        <v>1003</v>
      </c>
      <c r="D301" s="25" t="s">
        <v>1004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1003</f>
        <v>1003</v>
      </c>
      <c r="L301" s="32" t="s">
        <v>904</v>
      </c>
      <c r="M301" s="31">
        <f>1009</f>
        <v>1009</v>
      </c>
      <c r="N301" s="32" t="s">
        <v>819</v>
      </c>
      <c r="O301" s="31">
        <f>997</f>
        <v>997</v>
      </c>
      <c r="P301" s="32" t="s">
        <v>936</v>
      </c>
      <c r="Q301" s="31">
        <f>1003</f>
        <v>1003</v>
      </c>
      <c r="R301" s="32" t="s">
        <v>818</v>
      </c>
      <c r="S301" s="33">
        <f>1003.59</f>
        <v>1003.59</v>
      </c>
      <c r="T301" s="30">
        <f>95557</f>
        <v>95557</v>
      </c>
      <c r="U301" s="30" t="str">
        <f>"－"</f>
        <v>－</v>
      </c>
      <c r="V301" s="30">
        <f>95856604</f>
        <v>95856604</v>
      </c>
      <c r="W301" s="30" t="str">
        <f>"－"</f>
        <v>－</v>
      </c>
      <c r="X301" s="34">
        <f>22</f>
        <v>22</v>
      </c>
    </row>
    <row r="302" spans="1:24" x14ac:dyDescent="0.15">
      <c r="A302" s="25" t="s">
        <v>1006</v>
      </c>
      <c r="B302" s="25" t="s">
        <v>1007</v>
      </c>
      <c r="C302" s="25" t="s">
        <v>1008</v>
      </c>
      <c r="D302" s="25" t="s">
        <v>1009</v>
      </c>
      <c r="E302" s="26" t="s">
        <v>808</v>
      </c>
      <c r="F302" s="27" t="s">
        <v>809</v>
      </c>
      <c r="G302" s="28" t="s">
        <v>1010</v>
      </c>
      <c r="H302" s="29"/>
      <c r="I302" s="29" t="s">
        <v>46</v>
      </c>
      <c r="J302" s="30">
        <v>10</v>
      </c>
      <c r="K302" s="31">
        <f>5080</f>
        <v>5080</v>
      </c>
      <c r="L302" s="32" t="s">
        <v>819</v>
      </c>
      <c r="M302" s="31">
        <f>5080</f>
        <v>5080</v>
      </c>
      <c r="N302" s="32" t="s">
        <v>819</v>
      </c>
      <c r="O302" s="31">
        <f>4836</f>
        <v>4836</v>
      </c>
      <c r="P302" s="32" t="s">
        <v>936</v>
      </c>
      <c r="Q302" s="31">
        <f>4897</f>
        <v>4897</v>
      </c>
      <c r="R302" s="32" t="s">
        <v>934</v>
      </c>
      <c r="S302" s="33">
        <f>4917.11</f>
        <v>4917.1099999999997</v>
      </c>
      <c r="T302" s="30">
        <f>43820</f>
        <v>43820</v>
      </c>
      <c r="U302" s="30" t="str">
        <f>"－"</f>
        <v>－</v>
      </c>
      <c r="V302" s="30">
        <f>216743570</f>
        <v>216743570</v>
      </c>
      <c r="W302" s="30" t="str">
        <f>"－"</f>
        <v>－</v>
      </c>
      <c r="X302" s="34">
        <f>9</f>
        <v>9</v>
      </c>
    </row>
    <row r="303" spans="1:24" x14ac:dyDescent="0.15">
      <c r="A303" s="25" t="s">
        <v>1006</v>
      </c>
      <c r="B303" s="25" t="s">
        <v>1011</v>
      </c>
      <c r="C303" s="25" t="s">
        <v>1012</v>
      </c>
      <c r="D303" s="25" t="s">
        <v>1013</v>
      </c>
      <c r="E303" s="26" t="s">
        <v>808</v>
      </c>
      <c r="F303" s="27" t="s">
        <v>809</v>
      </c>
      <c r="G303" s="28" t="s">
        <v>1010</v>
      </c>
      <c r="H303" s="29"/>
      <c r="I303" s="29" t="s">
        <v>46</v>
      </c>
      <c r="J303" s="30">
        <v>10</v>
      </c>
      <c r="K303" s="31">
        <f>4998</f>
        <v>4998</v>
      </c>
      <c r="L303" s="32" t="s">
        <v>819</v>
      </c>
      <c r="M303" s="31">
        <f>5044</f>
        <v>5044</v>
      </c>
      <c r="N303" s="32" t="s">
        <v>819</v>
      </c>
      <c r="O303" s="31">
        <f>4702</f>
        <v>4702</v>
      </c>
      <c r="P303" s="32" t="s">
        <v>934</v>
      </c>
      <c r="Q303" s="31">
        <f>4702</f>
        <v>4702</v>
      </c>
      <c r="R303" s="32" t="s">
        <v>934</v>
      </c>
      <c r="S303" s="33">
        <f>4859.2</f>
        <v>4859.2</v>
      </c>
      <c r="T303" s="30">
        <f>435420</f>
        <v>435420</v>
      </c>
      <c r="U303" s="30">
        <f>435000</f>
        <v>435000</v>
      </c>
      <c r="V303" s="30">
        <f>2097310907</f>
        <v>2097310907</v>
      </c>
      <c r="W303" s="30">
        <f>2095234167</f>
        <v>2095234167</v>
      </c>
      <c r="X303" s="34">
        <f>5</f>
        <v>5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3E3F-BF20-496A-9041-EE8F440CEB88}">
  <sheetPr>
    <pageSetUpPr fitToPage="1"/>
  </sheetPr>
  <dimension ref="A1:X302"/>
  <sheetViews>
    <sheetView showGridLines="0" view="pageBreakPreview" zoomScaleNormal="70" zoomScaleSheetLayoutView="100" workbookViewId="0">
      <pane ySplit="6" topLeftCell="A25" activePane="bottomLeft" state="frozen"/>
      <selection pane="bottomLeft" activeCell="F26" sqref="F26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993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1996.5</f>
        <v>1996.5</v>
      </c>
      <c r="L7" s="32" t="s">
        <v>904</v>
      </c>
      <c r="M7" s="31">
        <f>2041.5</f>
        <v>2041.5</v>
      </c>
      <c r="N7" s="32" t="s">
        <v>908</v>
      </c>
      <c r="O7" s="31">
        <f>1938</f>
        <v>1938</v>
      </c>
      <c r="P7" s="32" t="s">
        <v>70</v>
      </c>
      <c r="Q7" s="31">
        <f>2021</f>
        <v>2021</v>
      </c>
      <c r="R7" s="32" t="s">
        <v>936</v>
      </c>
      <c r="S7" s="33">
        <f>1997.95</f>
        <v>1997.95</v>
      </c>
      <c r="T7" s="30">
        <f>8022140</f>
        <v>8022140</v>
      </c>
      <c r="U7" s="30">
        <f>2624250</f>
        <v>2624250</v>
      </c>
      <c r="V7" s="30">
        <f>16073793260</f>
        <v>16073793260</v>
      </c>
      <c r="W7" s="30">
        <f>5242688635</f>
        <v>5242688635</v>
      </c>
      <c r="X7" s="34">
        <f>20</f>
        <v>20</v>
      </c>
    </row>
    <row r="8" spans="1:24" x14ac:dyDescent="0.15">
      <c r="A8" s="25" t="s">
        <v>993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1976</f>
        <v>1976</v>
      </c>
      <c r="L8" s="32" t="s">
        <v>904</v>
      </c>
      <c r="M8" s="31">
        <f>2020</f>
        <v>2020</v>
      </c>
      <c r="N8" s="32" t="s">
        <v>908</v>
      </c>
      <c r="O8" s="31">
        <f>1913</f>
        <v>1913</v>
      </c>
      <c r="P8" s="32" t="s">
        <v>70</v>
      </c>
      <c r="Q8" s="31">
        <f>1998.5</f>
        <v>1998.5</v>
      </c>
      <c r="R8" s="32" t="s">
        <v>936</v>
      </c>
      <c r="S8" s="33">
        <f>1976.08</f>
        <v>1976.08</v>
      </c>
      <c r="T8" s="30">
        <f>56864550</f>
        <v>56864550</v>
      </c>
      <c r="U8" s="30">
        <f>12534990</f>
        <v>12534990</v>
      </c>
      <c r="V8" s="30">
        <f>112485466905</f>
        <v>112485466905</v>
      </c>
      <c r="W8" s="30">
        <f>25046784535</f>
        <v>25046784535</v>
      </c>
      <c r="X8" s="34">
        <f>20</f>
        <v>20</v>
      </c>
    </row>
    <row r="9" spans="1:24" x14ac:dyDescent="0.15">
      <c r="A9" s="25" t="s">
        <v>993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1956</f>
        <v>1956</v>
      </c>
      <c r="L9" s="32" t="s">
        <v>904</v>
      </c>
      <c r="M9" s="31">
        <f>1995</f>
        <v>1995</v>
      </c>
      <c r="N9" s="32" t="s">
        <v>908</v>
      </c>
      <c r="O9" s="31">
        <f>1892</f>
        <v>1892</v>
      </c>
      <c r="P9" s="32" t="s">
        <v>70</v>
      </c>
      <c r="Q9" s="31">
        <f>1977.5</f>
        <v>1977.5</v>
      </c>
      <c r="R9" s="32" t="s">
        <v>936</v>
      </c>
      <c r="S9" s="33">
        <f>1954.25</f>
        <v>1954.25</v>
      </c>
      <c r="T9" s="30">
        <f>10197100</f>
        <v>10197100</v>
      </c>
      <c r="U9" s="30">
        <f>3844600</f>
        <v>3844600</v>
      </c>
      <c r="V9" s="30">
        <f>19863697520</f>
        <v>19863697520</v>
      </c>
      <c r="W9" s="30">
        <f>7470460270</f>
        <v>7470460270</v>
      </c>
      <c r="X9" s="34">
        <f>20</f>
        <v>20</v>
      </c>
    </row>
    <row r="10" spans="1:24" x14ac:dyDescent="0.15">
      <c r="A10" s="25" t="s">
        <v>993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46990</f>
        <v>46990</v>
      </c>
      <c r="L10" s="32" t="s">
        <v>904</v>
      </c>
      <c r="M10" s="31">
        <f>47000</f>
        <v>47000</v>
      </c>
      <c r="N10" s="32" t="s">
        <v>904</v>
      </c>
      <c r="O10" s="31">
        <f>41370</f>
        <v>41370</v>
      </c>
      <c r="P10" s="32" t="s">
        <v>936</v>
      </c>
      <c r="Q10" s="31">
        <f>42000</f>
        <v>42000</v>
      </c>
      <c r="R10" s="32" t="s">
        <v>936</v>
      </c>
      <c r="S10" s="33">
        <f>44434.5</f>
        <v>44434.5</v>
      </c>
      <c r="T10" s="30">
        <f>4450</f>
        <v>4450</v>
      </c>
      <c r="U10" s="30">
        <f>8</f>
        <v>8</v>
      </c>
      <c r="V10" s="30">
        <f>199501040</f>
        <v>199501040</v>
      </c>
      <c r="W10" s="30">
        <f>354940</f>
        <v>354940</v>
      </c>
      <c r="X10" s="34">
        <f>20</f>
        <v>20</v>
      </c>
    </row>
    <row r="11" spans="1:24" x14ac:dyDescent="0.15">
      <c r="A11" s="25" t="s">
        <v>993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903.7</f>
        <v>903.7</v>
      </c>
      <c r="L11" s="32" t="s">
        <v>904</v>
      </c>
      <c r="M11" s="31">
        <f>942.6</f>
        <v>942.6</v>
      </c>
      <c r="N11" s="32" t="s">
        <v>94</v>
      </c>
      <c r="O11" s="31">
        <f>887</f>
        <v>887</v>
      </c>
      <c r="P11" s="32" t="s">
        <v>904</v>
      </c>
      <c r="Q11" s="31">
        <f>928.3</f>
        <v>928.3</v>
      </c>
      <c r="R11" s="32" t="s">
        <v>936</v>
      </c>
      <c r="S11" s="33">
        <f>921.55</f>
        <v>921.55</v>
      </c>
      <c r="T11" s="30">
        <f>92560</f>
        <v>92560</v>
      </c>
      <c r="U11" s="30" t="str">
        <f>"－"</f>
        <v>－</v>
      </c>
      <c r="V11" s="30">
        <f>85307988</f>
        <v>85307988</v>
      </c>
      <c r="W11" s="30" t="str">
        <f>"－"</f>
        <v>－</v>
      </c>
      <c r="X11" s="34">
        <f>20</f>
        <v>20</v>
      </c>
    </row>
    <row r="12" spans="1:24" x14ac:dyDescent="0.15">
      <c r="A12" s="25" t="s">
        <v>993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18975</f>
        <v>18975</v>
      </c>
      <c r="L12" s="32" t="s">
        <v>904</v>
      </c>
      <c r="M12" s="31">
        <f>20095</f>
        <v>20095</v>
      </c>
      <c r="N12" s="32" t="s">
        <v>94</v>
      </c>
      <c r="O12" s="31">
        <f>18610</f>
        <v>18610</v>
      </c>
      <c r="P12" s="32" t="s">
        <v>695</v>
      </c>
      <c r="Q12" s="31">
        <f>19985</f>
        <v>19985</v>
      </c>
      <c r="R12" s="32" t="s">
        <v>936</v>
      </c>
      <c r="S12" s="33">
        <f>19401.5</f>
        <v>19401.5</v>
      </c>
      <c r="T12" s="30">
        <f>646</f>
        <v>646</v>
      </c>
      <c r="U12" s="30" t="str">
        <f>"－"</f>
        <v>－</v>
      </c>
      <c r="V12" s="30">
        <f>12563340</f>
        <v>12563340</v>
      </c>
      <c r="W12" s="30" t="str">
        <f>"－"</f>
        <v>－</v>
      </c>
      <c r="X12" s="34">
        <f>20</f>
        <v>20</v>
      </c>
    </row>
    <row r="13" spans="1:24" x14ac:dyDescent="0.15">
      <c r="A13" s="25" t="s">
        <v>993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3385</f>
        <v>3385</v>
      </c>
      <c r="L13" s="32" t="s">
        <v>904</v>
      </c>
      <c r="M13" s="31">
        <f>3800</f>
        <v>3800</v>
      </c>
      <c r="N13" s="32" t="s">
        <v>70</v>
      </c>
      <c r="O13" s="31">
        <f>3200</f>
        <v>3200</v>
      </c>
      <c r="P13" s="32" t="s">
        <v>70</v>
      </c>
      <c r="Q13" s="31">
        <f>3310</f>
        <v>3310</v>
      </c>
      <c r="R13" s="32" t="s">
        <v>266</v>
      </c>
      <c r="S13" s="33">
        <f>3318</f>
        <v>3318</v>
      </c>
      <c r="T13" s="30">
        <f>2250</f>
        <v>2250</v>
      </c>
      <c r="U13" s="30">
        <f>20</f>
        <v>20</v>
      </c>
      <c r="V13" s="30">
        <f>7780830</f>
        <v>7780830</v>
      </c>
      <c r="W13" s="30">
        <f>66200</f>
        <v>66200</v>
      </c>
      <c r="X13" s="34">
        <f>14</f>
        <v>14</v>
      </c>
    </row>
    <row r="14" spans="1:24" x14ac:dyDescent="0.15">
      <c r="A14" s="25" t="s">
        <v>993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345.5</f>
        <v>345.5</v>
      </c>
      <c r="L14" s="32" t="s">
        <v>904</v>
      </c>
      <c r="M14" s="31">
        <f>354.9</f>
        <v>354.9</v>
      </c>
      <c r="N14" s="32" t="s">
        <v>94</v>
      </c>
      <c r="O14" s="31">
        <f>337.9</f>
        <v>337.9</v>
      </c>
      <c r="P14" s="32" t="s">
        <v>695</v>
      </c>
      <c r="Q14" s="31">
        <f>354.9</f>
        <v>354.9</v>
      </c>
      <c r="R14" s="32" t="s">
        <v>94</v>
      </c>
      <c r="S14" s="33">
        <f>347.09</f>
        <v>347.09</v>
      </c>
      <c r="T14" s="30">
        <f>58000</f>
        <v>58000</v>
      </c>
      <c r="U14" s="30">
        <f>1000</f>
        <v>1000</v>
      </c>
      <c r="V14" s="30">
        <f>20081500</f>
        <v>20081500</v>
      </c>
      <c r="W14" s="30">
        <f>349800</f>
        <v>349800</v>
      </c>
      <c r="X14" s="34">
        <f>14</f>
        <v>14</v>
      </c>
    </row>
    <row r="15" spans="1:24" x14ac:dyDescent="0.15">
      <c r="A15" s="25" t="s">
        <v>993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27520</f>
        <v>27520</v>
      </c>
      <c r="L15" s="32" t="s">
        <v>904</v>
      </c>
      <c r="M15" s="31">
        <f>28610</f>
        <v>28610</v>
      </c>
      <c r="N15" s="32" t="s">
        <v>94</v>
      </c>
      <c r="O15" s="31">
        <f>26665</f>
        <v>26665</v>
      </c>
      <c r="P15" s="32" t="s">
        <v>70</v>
      </c>
      <c r="Q15" s="31">
        <f>28370</f>
        <v>28370</v>
      </c>
      <c r="R15" s="32" t="s">
        <v>936</v>
      </c>
      <c r="S15" s="33">
        <f>27673.5</f>
        <v>27673.5</v>
      </c>
      <c r="T15" s="30">
        <f>1176119</f>
        <v>1176119</v>
      </c>
      <c r="U15" s="30">
        <f>348124</f>
        <v>348124</v>
      </c>
      <c r="V15" s="30">
        <f>32642258073</f>
        <v>32642258073</v>
      </c>
      <c r="W15" s="30">
        <f>9769264368</f>
        <v>9769264368</v>
      </c>
      <c r="X15" s="34">
        <f>20</f>
        <v>20</v>
      </c>
    </row>
    <row r="16" spans="1:24" x14ac:dyDescent="0.15">
      <c r="A16" s="25" t="s">
        <v>993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27550</f>
        <v>27550</v>
      </c>
      <c r="L16" s="32" t="s">
        <v>904</v>
      </c>
      <c r="M16" s="31">
        <f>28700</f>
        <v>28700</v>
      </c>
      <c r="N16" s="32" t="s">
        <v>94</v>
      </c>
      <c r="O16" s="31">
        <f>26800</f>
        <v>26800</v>
      </c>
      <c r="P16" s="32" t="s">
        <v>70</v>
      </c>
      <c r="Q16" s="31">
        <f>28480</f>
        <v>28480</v>
      </c>
      <c r="R16" s="32" t="s">
        <v>936</v>
      </c>
      <c r="S16" s="33">
        <f>27745</f>
        <v>27745</v>
      </c>
      <c r="T16" s="30">
        <f>4751130</f>
        <v>4751130</v>
      </c>
      <c r="U16" s="30">
        <f>551495</f>
        <v>551495</v>
      </c>
      <c r="V16" s="30">
        <f>131750093814</f>
        <v>131750093814</v>
      </c>
      <c r="W16" s="30">
        <f>15352705289</f>
        <v>15352705289</v>
      </c>
      <c r="X16" s="34">
        <f>20</f>
        <v>20</v>
      </c>
    </row>
    <row r="17" spans="1:24" x14ac:dyDescent="0.15">
      <c r="A17" s="25" t="s">
        <v>993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9000</f>
        <v>9000</v>
      </c>
      <c r="L17" s="32" t="s">
        <v>904</v>
      </c>
      <c r="M17" s="31">
        <f>9100</f>
        <v>9100</v>
      </c>
      <c r="N17" s="32" t="s">
        <v>810</v>
      </c>
      <c r="O17" s="31">
        <f>8120</f>
        <v>8120</v>
      </c>
      <c r="P17" s="32" t="s">
        <v>936</v>
      </c>
      <c r="Q17" s="31">
        <f>8193</f>
        <v>8193</v>
      </c>
      <c r="R17" s="32" t="s">
        <v>936</v>
      </c>
      <c r="S17" s="33">
        <f>8641.05</f>
        <v>8641.0499999999993</v>
      </c>
      <c r="T17" s="30">
        <f>9350</f>
        <v>9350</v>
      </c>
      <c r="U17" s="30" t="str">
        <f>"－"</f>
        <v>－</v>
      </c>
      <c r="V17" s="30">
        <f>81022190</f>
        <v>81022190</v>
      </c>
      <c r="W17" s="30" t="str">
        <f>"－"</f>
        <v>－</v>
      </c>
      <c r="X17" s="34">
        <f>20</f>
        <v>20</v>
      </c>
    </row>
    <row r="18" spans="1:24" x14ac:dyDescent="0.15">
      <c r="A18" s="25" t="s">
        <v>993</v>
      </c>
      <c r="B18" s="25" t="s">
        <v>81</v>
      </c>
      <c r="C18" s="25" t="s">
        <v>82</v>
      </c>
      <c r="D18" s="25" t="s">
        <v>83</v>
      </c>
      <c r="E18" s="26" t="s">
        <v>937</v>
      </c>
      <c r="F18" s="27" t="s">
        <v>938</v>
      </c>
      <c r="G18" s="28" t="s">
        <v>994</v>
      </c>
      <c r="H18" s="29" t="s">
        <v>910</v>
      </c>
      <c r="I18" s="29"/>
      <c r="J18" s="30">
        <v>100</v>
      </c>
      <c r="K18" s="31">
        <f>515.2</f>
        <v>515.20000000000005</v>
      </c>
      <c r="L18" s="32" t="s">
        <v>904</v>
      </c>
      <c r="M18" s="31">
        <f>543.9</f>
        <v>543.9</v>
      </c>
      <c r="N18" s="32" t="s">
        <v>66</v>
      </c>
      <c r="O18" s="31">
        <f>506.2</f>
        <v>506.2</v>
      </c>
      <c r="P18" s="32" t="s">
        <v>70</v>
      </c>
      <c r="Q18" s="31">
        <f>543.5</f>
        <v>543.5</v>
      </c>
      <c r="R18" s="32" t="s">
        <v>908</v>
      </c>
      <c r="S18" s="33">
        <f>520.13</f>
        <v>520.13</v>
      </c>
      <c r="T18" s="30">
        <f>270600</f>
        <v>270600</v>
      </c>
      <c r="U18" s="30" t="str">
        <f>"－"</f>
        <v>－</v>
      </c>
      <c r="V18" s="30">
        <f>142466140</f>
        <v>142466140</v>
      </c>
      <c r="W18" s="30" t="str">
        <f>"－"</f>
        <v>－</v>
      </c>
      <c r="X18" s="34">
        <f>15</f>
        <v>15</v>
      </c>
    </row>
    <row r="19" spans="1:24" x14ac:dyDescent="0.15">
      <c r="A19" s="25" t="s">
        <v>993</v>
      </c>
      <c r="B19" s="25" t="s">
        <v>84</v>
      </c>
      <c r="C19" s="25" t="s">
        <v>980</v>
      </c>
      <c r="D19" s="25" t="s">
        <v>981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 t="str">
        <f>"－"</f>
        <v>－</v>
      </c>
      <c r="L19" s="32"/>
      <c r="M19" s="31" t="str">
        <f>"－"</f>
        <v>－</v>
      </c>
      <c r="N19" s="32"/>
      <c r="O19" s="31" t="str">
        <f>"－"</f>
        <v>－</v>
      </c>
      <c r="P19" s="32"/>
      <c r="Q19" s="31" t="str">
        <f>"－"</f>
        <v>－</v>
      </c>
      <c r="R19" s="32"/>
      <c r="S19" s="33" t="str">
        <f>"－"</f>
        <v>－</v>
      </c>
      <c r="T19" s="30" t="str">
        <f>"－"</f>
        <v>－</v>
      </c>
      <c r="U19" s="30" t="str">
        <f>"－"</f>
        <v>－</v>
      </c>
      <c r="V19" s="30" t="str">
        <f>"－"</f>
        <v>－</v>
      </c>
      <c r="W19" s="30" t="str">
        <f>"－"</f>
        <v>－</v>
      </c>
      <c r="X19" s="34" t="str">
        <f>"－"</f>
        <v>－</v>
      </c>
    </row>
    <row r="20" spans="1:24" x14ac:dyDescent="0.15">
      <c r="A20" s="25" t="s">
        <v>993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194</f>
        <v>194</v>
      </c>
      <c r="L20" s="32" t="s">
        <v>904</v>
      </c>
      <c r="M20" s="31">
        <f>194.8</f>
        <v>194.8</v>
      </c>
      <c r="N20" s="32" t="s">
        <v>904</v>
      </c>
      <c r="O20" s="31">
        <f>175</f>
        <v>175</v>
      </c>
      <c r="P20" s="32" t="s">
        <v>915</v>
      </c>
      <c r="Q20" s="31">
        <f>184.5</f>
        <v>184.5</v>
      </c>
      <c r="R20" s="32" t="s">
        <v>936</v>
      </c>
      <c r="S20" s="33">
        <f>183.9</f>
        <v>183.9</v>
      </c>
      <c r="T20" s="30">
        <f>506100</f>
        <v>506100</v>
      </c>
      <c r="U20" s="30">
        <f>300</f>
        <v>300</v>
      </c>
      <c r="V20" s="30">
        <f>92544050</f>
        <v>92544050</v>
      </c>
      <c r="W20" s="30">
        <f>55070</f>
        <v>55070</v>
      </c>
      <c r="X20" s="34">
        <f>20</f>
        <v>20</v>
      </c>
    </row>
    <row r="21" spans="1:24" x14ac:dyDescent="0.15">
      <c r="A21" s="25" t="s">
        <v>993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22880</f>
        <v>22880</v>
      </c>
      <c r="L21" s="32" t="s">
        <v>904</v>
      </c>
      <c r="M21" s="31">
        <f>23030</f>
        <v>23030</v>
      </c>
      <c r="N21" s="32" t="s">
        <v>810</v>
      </c>
      <c r="O21" s="31">
        <f>21760</f>
        <v>21760</v>
      </c>
      <c r="P21" s="32" t="s">
        <v>66</v>
      </c>
      <c r="Q21" s="31">
        <f>21860</f>
        <v>21860</v>
      </c>
      <c r="R21" s="32" t="s">
        <v>936</v>
      </c>
      <c r="S21" s="33">
        <f>22156.25</f>
        <v>22156.25</v>
      </c>
      <c r="T21" s="30">
        <f>365621</f>
        <v>365621</v>
      </c>
      <c r="U21" s="30" t="str">
        <f>"－"</f>
        <v>－</v>
      </c>
      <c r="V21" s="30">
        <f>8038910405</f>
        <v>8038910405</v>
      </c>
      <c r="W21" s="30" t="str">
        <f>"－"</f>
        <v>－</v>
      </c>
      <c r="X21" s="34">
        <f>20</f>
        <v>20</v>
      </c>
    </row>
    <row r="22" spans="1:24" x14ac:dyDescent="0.15">
      <c r="A22" s="25" t="s">
        <v>993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6151</f>
        <v>6151</v>
      </c>
      <c r="L22" s="32" t="s">
        <v>904</v>
      </c>
      <c r="M22" s="31">
        <f>6195</f>
        <v>6195</v>
      </c>
      <c r="N22" s="32" t="s">
        <v>810</v>
      </c>
      <c r="O22" s="31">
        <f>5821</f>
        <v>5821</v>
      </c>
      <c r="P22" s="32" t="s">
        <v>66</v>
      </c>
      <c r="Q22" s="31">
        <f>5880</f>
        <v>5880</v>
      </c>
      <c r="R22" s="32" t="s">
        <v>936</v>
      </c>
      <c r="S22" s="33">
        <f>5950.8</f>
        <v>5950.8</v>
      </c>
      <c r="T22" s="30">
        <f>1138440</f>
        <v>1138440</v>
      </c>
      <c r="U22" s="30">
        <f>881100</f>
        <v>881100</v>
      </c>
      <c r="V22" s="30">
        <f>6692775270</f>
        <v>6692775270</v>
      </c>
      <c r="W22" s="30">
        <f>5170761860</f>
        <v>5170761860</v>
      </c>
      <c r="X22" s="34">
        <f>20</f>
        <v>20</v>
      </c>
    </row>
    <row r="23" spans="1:24" x14ac:dyDescent="0.15">
      <c r="A23" s="25" t="s">
        <v>993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27475</f>
        <v>27475</v>
      </c>
      <c r="L23" s="32" t="s">
        <v>904</v>
      </c>
      <c r="M23" s="31">
        <f>29145</f>
        <v>29145</v>
      </c>
      <c r="N23" s="32" t="s">
        <v>94</v>
      </c>
      <c r="O23" s="31">
        <f>26900</f>
        <v>26900</v>
      </c>
      <c r="P23" s="32" t="s">
        <v>904</v>
      </c>
      <c r="Q23" s="31">
        <f>28930</f>
        <v>28930</v>
      </c>
      <c r="R23" s="32" t="s">
        <v>936</v>
      </c>
      <c r="S23" s="33">
        <f>28076.5</f>
        <v>28076.5</v>
      </c>
      <c r="T23" s="30">
        <f>1451766</f>
        <v>1451766</v>
      </c>
      <c r="U23" s="30">
        <f>855631</f>
        <v>855631</v>
      </c>
      <c r="V23" s="30">
        <f>40744908808</f>
        <v>40744908808</v>
      </c>
      <c r="W23" s="30">
        <f>23921402223</f>
        <v>23921402223</v>
      </c>
      <c r="X23" s="34">
        <f>20</f>
        <v>20</v>
      </c>
    </row>
    <row r="24" spans="1:24" x14ac:dyDescent="0.15">
      <c r="A24" s="25" t="s">
        <v>993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27580</f>
        <v>27580</v>
      </c>
      <c r="L24" s="32" t="s">
        <v>904</v>
      </c>
      <c r="M24" s="31">
        <f>28735</f>
        <v>28735</v>
      </c>
      <c r="N24" s="32" t="s">
        <v>94</v>
      </c>
      <c r="O24" s="31">
        <f>26800</f>
        <v>26800</v>
      </c>
      <c r="P24" s="32" t="s">
        <v>70</v>
      </c>
      <c r="Q24" s="31">
        <f>28505</f>
        <v>28505</v>
      </c>
      <c r="R24" s="32" t="s">
        <v>936</v>
      </c>
      <c r="S24" s="33">
        <f>27776.75</f>
        <v>27776.75</v>
      </c>
      <c r="T24" s="30">
        <f>2276070</f>
        <v>2276070</v>
      </c>
      <c r="U24" s="30">
        <f>995320</f>
        <v>995320</v>
      </c>
      <c r="V24" s="30">
        <f>63766255741</f>
        <v>63766255741</v>
      </c>
      <c r="W24" s="30">
        <f>28103284691</f>
        <v>28103284691</v>
      </c>
      <c r="X24" s="34">
        <f>20</f>
        <v>20</v>
      </c>
    </row>
    <row r="25" spans="1:24" x14ac:dyDescent="0.15">
      <c r="A25" s="25" t="s">
        <v>993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2117</f>
        <v>2117</v>
      </c>
      <c r="L25" s="32" t="s">
        <v>904</v>
      </c>
      <c r="M25" s="31">
        <f>2178</f>
        <v>2178</v>
      </c>
      <c r="N25" s="32" t="s">
        <v>936</v>
      </c>
      <c r="O25" s="31">
        <f>2079</f>
        <v>2079</v>
      </c>
      <c r="P25" s="32" t="s">
        <v>904</v>
      </c>
      <c r="Q25" s="31">
        <f>2177</f>
        <v>2177</v>
      </c>
      <c r="R25" s="32" t="s">
        <v>936</v>
      </c>
      <c r="S25" s="33">
        <f>2125.48</f>
        <v>2125.48</v>
      </c>
      <c r="T25" s="30">
        <f>10936320</f>
        <v>10936320</v>
      </c>
      <c r="U25" s="30">
        <f>3912840</f>
        <v>3912840</v>
      </c>
      <c r="V25" s="30">
        <f>23358044538</f>
        <v>23358044538</v>
      </c>
      <c r="W25" s="30">
        <f>8369316298</f>
        <v>8369316298</v>
      </c>
      <c r="X25" s="34">
        <f>20</f>
        <v>20</v>
      </c>
    </row>
    <row r="26" spans="1:24" x14ac:dyDescent="0.15">
      <c r="A26" s="25" t="s">
        <v>993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1998.5</f>
        <v>1998.5</v>
      </c>
      <c r="L26" s="32" t="s">
        <v>904</v>
      </c>
      <c r="M26" s="31">
        <f>2046.5</f>
        <v>2046.5</v>
      </c>
      <c r="N26" s="32" t="s">
        <v>936</v>
      </c>
      <c r="O26" s="31">
        <f>1962</f>
        <v>1962</v>
      </c>
      <c r="P26" s="32" t="s">
        <v>904</v>
      </c>
      <c r="Q26" s="31">
        <f>2046.5</f>
        <v>2046.5</v>
      </c>
      <c r="R26" s="32" t="s">
        <v>936</v>
      </c>
      <c r="S26" s="33">
        <f>1998</f>
        <v>1998</v>
      </c>
      <c r="T26" s="30">
        <f>578200</f>
        <v>578200</v>
      </c>
      <c r="U26" s="30">
        <f>177000</f>
        <v>177000</v>
      </c>
      <c r="V26" s="30">
        <f>1155360615</f>
        <v>1155360615</v>
      </c>
      <c r="W26" s="30">
        <f>354014915</f>
        <v>354014915</v>
      </c>
      <c r="X26" s="34">
        <f>20</f>
        <v>20</v>
      </c>
    </row>
    <row r="27" spans="1:24" x14ac:dyDescent="0.15">
      <c r="A27" s="25" t="s">
        <v>993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27470</f>
        <v>27470</v>
      </c>
      <c r="L27" s="32" t="s">
        <v>904</v>
      </c>
      <c r="M27" s="31">
        <f>28830</f>
        <v>28830</v>
      </c>
      <c r="N27" s="32" t="s">
        <v>94</v>
      </c>
      <c r="O27" s="31">
        <f>26890</f>
        <v>26890</v>
      </c>
      <c r="P27" s="32" t="s">
        <v>904</v>
      </c>
      <c r="Q27" s="31">
        <f>28580</f>
        <v>28580</v>
      </c>
      <c r="R27" s="32" t="s">
        <v>936</v>
      </c>
      <c r="S27" s="33">
        <f>27904.75</f>
        <v>27904.75</v>
      </c>
      <c r="T27" s="30">
        <f>334447</f>
        <v>334447</v>
      </c>
      <c r="U27" s="30">
        <f>91230</f>
        <v>91230</v>
      </c>
      <c r="V27" s="30">
        <f>9363866096</f>
        <v>9363866096</v>
      </c>
      <c r="W27" s="30">
        <f>2584500461</f>
        <v>2584500461</v>
      </c>
      <c r="X27" s="34">
        <f>20</f>
        <v>20</v>
      </c>
    </row>
    <row r="28" spans="1:24" x14ac:dyDescent="0.15">
      <c r="A28" s="25" t="s">
        <v>993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1960</f>
        <v>1960</v>
      </c>
      <c r="L28" s="32" t="s">
        <v>904</v>
      </c>
      <c r="M28" s="31">
        <f>2021</f>
        <v>2021</v>
      </c>
      <c r="N28" s="32" t="s">
        <v>908</v>
      </c>
      <c r="O28" s="31">
        <f>1921</f>
        <v>1921</v>
      </c>
      <c r="P28" s="32" t="s">
        <v>904</v>
      </c>
      <c r="Q28" s="31">
        <f>2000.5</f>
        <v>2000.5</v>
      </c>
      <c r="R28" s="32" t="s">
        <v>936</v>
      </c>
      <c r="S28" s="33">
        <f>1981.15</f>
        <v>1981.15</v>
      </c>
      <c r="T28" s="30">
        <f>6924780</f>
        <v>6924780</v>
      </c>
      <c r="U28" s="30">
        <f>4902000</f>
        <v>4902000</v>
      </c>
      <c r="V28" s="30">
        <f>13531545755</f>
        <v>13531545755</v>
      </c>
      <c r="W28" s="30">
        <f>9541677140</f>
        <v>9541677140</v>
      </c>
      <c r="X28" s="34">
        <f>20</f>
        <v>20</v>
      </c>
    </row>
    <row r="29" spans="1:24" x14ac:dyDescent="0.15">
      <c r="A29" s="25" t="s">
        <v>993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14320</f>
        <v>14320</v>
      </c>
      <c r="L29" s="32" t="s">
        <v>904</v>
      </c>
      <c r="M29" s="31">
        <f>14910</f>
        <v>14910</v>
      </c>
      <c r="N29" s="32" t="s">
        <v>915</v>
      </c>
      <c r="O29" s="31">
        <f>14215</f>
        <v>14215</v>
      </c>
      <c r="P29" s="32" t="s">
        <v>936</v>
      </c>
      <c r="Q29" s="31">
        <f>14395</f>
        <v>14395</v>
      </c>
      <c r="R29" s="32" t="s">
        <v>936</v>
      </c>
      <c r="S29" s="33">
        <f>14596.75</f>
        <v>14596.75</v>
      </c>
      <c r="T29" s="30">
        <f>3344</f>
        <v>3344</v>
      </c>
      <c r="U29" s="30" t="str">
        <f>"－"</f>
        <v>－</v>
      </c>
      <c r="V29" s="30">
        <f>48666795</f>
        <v>48666795</v>
      </c>
      <c r="W29" s="30" t="str">
        <f>"－"</f>
        <v>－</v>
      </c>
      <c r="X29" s="34">
        <f>20</f>
        <v>20</v>
      </c>
    </row>
    <row r="30" spans="1:24" x14ac:dyDescent="0.15">
      <c r="A30" s="25" t="s">
        <v>993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1049</f>
        <v>1049</v>
      </c>
      <c r="L30" s="32" t="s">
        <v>904</v>
      </c>
      <c r="M30" s="31">
        <f>1090</f>
        <v>1090</v>
      </c>
      <c r="N30" s="32" t="s">
        <v>904</v>
      </c>
      <c r="O30" s="31">
        <f>950.8</f>
        <v>950.8</v>
      </c>
      <c r="P30" s="32" t="s">
        <v>94</v>
      </c>
      <c r="Q30" s="31">
        <f>971.6</f>
        <v>971.6</v>
      </c>
      <c r="R30" s="32" t="s">
        <v>936</v>
      </c>
      <c r="S30" s="33">
        <f>1005.72</f>
        <v>1005.72</v>
      </c>
      <c r="T30" s="30">
        <f>7992940</f>
        <v>7992940</v>
      </c>
      <c r="U30" s="30">
        <f>70050</f>
        <v>70050</v>
      </c>
      <c r="V30" s="30">
        <f>8058611492</f>
        <v>8058611492</v>
      </c>
      <c r="W30" s="30">
        <f>71827015</f>
        <v>71827015</v>
      </c>
      <c r="X30" s="34">
        <f>20</f>
        <v>20</v>
      </c>
    </row>
    <row r="31" spans="1:24" x14ac:dyDescent="0.15">
      <c r="A31" s="25" t="s">
        <v>993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413</f>
        <v>413</v>
      </c>
      <c r="L31" s="32" t="s">
        <v>904</v>
      </c>
      <c r="M31" s="31">
        <f>431</f>
        <v>431</v>
      </c>
      <c r="N31" s="32" t="s">
        <v>904</v>
      </c>
      <c r="O31" s="31">
        <f>363</f>
        <v>363</v>
      </c>
      <c r="P31" s="32" t="s">
        <v>94</v>
      </c>
      <c r="Q31" s="31">
        <f>369</f>
        <v>369</v>
      </c>
      <c r="R31" s="32" t="s">
        <v>936</v>
      </c>
      <c r="S31" s="33">
        <f>393.6</f>
        <v>393.6</v>
      </c>
      <c r="T31" s="30">
        <f>1538578436</f>
        <v>1538578436</v>
      </c>
      <c r="U31" s="30">
        <f>5717437</f>
        <v>5717437</v>
      </c>
      <c r="V31" s="30">
        <f>605883924915</f>
        <v>605883924915</v>
      </c>
      <c r="W31" s="30">
        <f>2345177656</f>
        <v>2345177656</v>
      </c>
      <c r="X31" s="34">
        <f>20</f>
        <v>20</v>
      </c>
    </row>
    <row r="32" spans="1:24" x14ac:dyDescent="0.15">
      <c r="A32" s="25" t="s">
        <v>993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24360</f>
        <v>24360</v>
      </c>
      <c r="L32" s="32" t="s">
        <v>904</v>
      </c>
      <c r="M32" s="31">
        <f>27220</f>
        <v>27220</v>
      </c>
      <c r="N32" s="32" t="s">
        <v>94</v>
      </c>
      <c r="O32" s="31">
        <f>23300</f>
        <v>23300</v>
      </c>
      <c r="P32" s="32" t="s">
        <v>904</v>
      </c>
      <c r="Q32" s="31">
        <f>26760</f>
        <v>26760</v>
      </c>
      <c r="R32" s="32" t="s">
        <v>936</v>
      </c>
      <c r="S32" s="33">
        <f>25298</f>
        <v>25298</v>
      </c>
      <c r="T32" s="30">
        <f>479867</f>
        <v>479867</v>
      </c>
      <c r="U32" s="30">
        <f>4</f>
        <v>4</v>
      </c>
      <c r="V32" s="30">
        <f>12057469880</f>
        <v>12057469880</v>
      </c>
      <c r="W32" s="30">
        <f>97300</f>
        <v>97300</v>
      </c>
      <c r="X32" s="34">
        <f>20</f>
        <v>20</v>
      </c>
    </row>
    <row r="33" spans="1:24" x14ac:dyDescent="0.15">
      <c r="A33" s="25" t="s">
        <v>993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1005</f>
        <v>1005</v>
      </c>
      <c r="L33" s="32" t="s">
        <v>904</v>
      </c>
      <c r="M33" s="31">
        <f>1050</f>
        <v>1050</v>
      </c>
      <c r="N33" s="32" t="s">
        <v>904</v>
      </c>
      <c r="O33" s="31">
        <f>885.8</f>
        <v>885.8</v>
      </c>
      <c r="P33" s="32" t="s">
        <v>94</v>
      </c>
      <c r="Q33" s="31">
        <f>901.1</f>
        <v>901.1</v>
      </c>
      <c r="R33" s="32" t="s">
        <v>936</v>
      </c>
      <c r="S33" s="33">
        <f>960.26</f>
        <v>960.26</v>
      </c>
      <c r="T33" s="30">
        <f>230304010</f>
        <v>230304010</v>
      </c>
      <c r="U33" s="30">
        <f>511500</f>
        <v>511500</v>
      </c>
      <c r="V33" s="30">
        <f>222705544212</f>
        <v>222705544212</v>
      </c>
      <c r="W33" s="30">
        <f>502508050</f>
        <v>502508050</v>
      </c>
      <c r="X33" s="34">
        <f>20</f>
        <v>20</v>
      </c>
    </row>
    <row r="34" spans="1:24" x14ac:dyDescent="0.15">
      <c r="A34" s="25" t="s">
        <v>993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17325</f>
        <v>17325</v>
      </c>
      <c r="L34" s="32" t="s">
        <v>904</v>
      </c>
      <c r="M34" s="31">
        <f>18175</f>
        <v>18175</v>
      </c>
      <c r="N34" s="32" t="s">
        <v>908</v>
      </c>
      <c r="O34" s="31">
        <f>17000</f>
        <v>17000</v>
      </c>
      <c r="P34" s="32" t="s">
        <v>904</v>
      </c>
      <c r="Q34" s="31">
        <f>17950</f>
        <v>17950</v>
      </c>
      <c r="R34" s="32" t="s">
        <v>936</v>
      </c>
      <c r="S34" s="33">
        <f>17674.75</f>
        <v>17674.75</v>
      </c>
      <c r="T34" s="30">
        <f>14691</f>
        <v>14691</v>
      </c>
      <c r="U34" s="30">
        <f>11987</f>
        <v>11987</v>
      </c>
      <c r="V34" s="30">
        <f>255003582</f>
        <v>255003582</v>
      </c>
      <c r="W34" s="30">
        <f>207455412</f>
        <v>207455412</v>
      </c>
      <c r="X34" s="34">
        <f>20</f>
        <v>20</v>
      </c>
    </row>
    <row r="35" spans="1:24" x14ac:dyDescent="0.15">
      <c r="A35" s="25" t="s">
        <v>993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20195</f>
        <v>20195</v>
      </c>
      <c r="L35" s="32" t="s">
        <v>904</v>
      </c>
      <c r="M35" s="31">
        <f>22700</f>
        <v>22700</v>
      </c>
      <c r="N35" s="32" t="s">
        <v>94</v>
      </c>
      <c r="O35" s="31">
        <f>19330</f>
        <v>19330</v>
      </c>
      <c r="P35" s="32" t="s">
        <v>904</v>
      </c>
      <c r="Q35" s="31">
        <f>22320</f>
        <v>22320</v>
      </c>
      <c r="R35" s="32" t="s">
        <v>936</v>
      </c>
      <c r="S35" s="33">
        <f>21072.25</f>
        <v>21072.25</v>
      </c>
      <c r="T35" s="30">
        <f>1174449</f>
        <v>1174449</v>
      </c>
      <c r="U35" s="30">
        <f>2</f>
        <v>2</v>
      </c>
      <c r="V35" s="30">
        <f>24599404875</f>
        <v>24599404875</v>
      </c>
      <c r="W35" s="30">
        <f>40380</f>
        <v>40380</v>
      </c>
      <c r="X35" s="34">
        <f>20</f>
        <v>20</v>
      </c>
    </row>
    <row r="36" spans="1:24" x14ac:dyDescent="0.15">
      <c r="A36" s="25" t="s">
        <v>993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1075</f>
        <v>1075</v>
      </c>
      <c r="L36" s="32" t="s">
        <v>904</v>
      </c>
      <c r="M36" s="31">
        <f>1122</f>
        <v>1122</v>
      </c>
      <c r="N36" s="32" t="s">
        <v>904</v>
      </c>
      <c r="O36" s="31">
        <f>946</f>
        <v>946</v>
      </c>
      <c r="P36" s="32" t="s">
        <v>94</v>
      </c>
      <c r="Q36" s="31">
        <f>962</f>
        <v>962</v>
      </c>
      <c r="R36" s="32" t="s">
        <v>936</v>
      </c>
      <c r="S36" s="33">
        <f>1025.4</f>
        <v>1025.4000000000001</v>
      </c>
      <c r="T36" s="30">
        <f>26406157</f>
        <v>26406157</v>
      </c>
      <c r="U36" s="30">
        <f>100</f>
        <v>100</v>
      </c>
      <c r="V36" s="30">
        <f>27194204341</f>
        <v>27194204341</v>
      </c>
      <c r="W36" s="30">
        <f>106000</f>
        <v>106000</v>
      </c>
      <c r="X36" s="34">
        <f>20</f>
        <v>20</v>
      </c>
    </row>
    <row r="37" spans="1:24" x14ac:dyDescent="0.15">
      <c r="A37" s="25" t="s">
        <v>993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17315</f>
        <v>17315</v>
      </c>
      <c r="L37" s="32" t="s">
        <v>904</v>
      </c>
      <c r="M37" s="31">
        <f>18910</f>
        <v>18910</v>
      </c>
      <c r="N37" s="32" t="s">
        <v>908</v>
      </c>
      <c r="O37" s="31">
        <f>16635</f>
        <v>16635</v>
      </c>
      <c r="P37" s="32" t="s">
        <v>904</v>
      </c>
      <c r="Q37" s="31">
        <f>18525</f>
        <v>18525</v>
      </c>
      <c r="R37" s="32" t="s">
        <v>936</v>
      </c>
      <c r="S37" s="33">
        <f>17962.75</f>
        <v>17962.75</v>
      </c>
      <c r="T37" s="30">
        <f>132787</f>
        <v>132787</v>
      </c>
      <c r="U37" s="30" t="str">
        <f>"－"</f>
        <v>－</v>
      </c>
      <c r="V37" s="30">
        <f>2379594295</f>
        <v>2379594295</v>
      </c>
      <c r="W37" s="30" t="str">
        <f>"－"</f>
        <v>－</v>
      </c>
      <c r="X37" s="34">
        <f>20</f>
        <v>20</v>
      </c>
    </row>
    <row r="38" spans="1:24" x14ac:dyDescent="0.15">
      <c r="A38" s="25" t="s">
        <v>993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1521</f>
        <v>1521</v>
      </c>
      <c r="L38" s="32" t="s">
        <v>904</v>
      </c>
      <c r="M38" s="31">
        <f>1582</f>
        <v>1582</v>
      </c>
      <c r="N38" s="32" t="s">
        <v>904</v>
      </c>
      <c r="O38" s="31">
        <f>1379</f>
        <v>1379</v>
      </c>
      <c r="P38" s="32" t="s">
        <v>908</v>
      </c>
      <c r="Q38" s="31">
        <f>1407</f>
        <v>1407</v>
      </c>
      <c r="R38" s="32" t="s">
        <v>936</v>
      </c>
      <c r="S38" s="33">
        <f>1458.75</f>
        <v>1458.75</v>
      </c>
      <c r="T38" s="30">
        <f>1359877</f>
        <v>1359877</v>
      </c>
      <c r="U38" s="30" t="str">
        <f>"－"</f>
        <v>－</v>
      </c>
      <c r="V38" s="30">
        <f>1989565670</f>
        <v>1989565670</v>
      </c>
      <c r="W38" s="30" t="str">
        <f>"－"</f>
        <v>－</v>
      </c>
      <c r="X38" s="34">
        <f>20</f>
        <v>20</v>
      </c>
    </row>
    <row r="39" spans="1:24" x14ac:dyDescent="0.15">
      <c r="A39" s="25" t="s">
        <v>993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26660</f>
        <v>26660</v>
      </c>
      <c r="L39" s="32" t="s">
        <v>904</v>
      </c>
      <c r="M39" s="31">
        <f>27995</f>
        <v>27995</v>
      </c>
      <c r="N39" s="32" t="s">
        <v>94</v>
      </c>
      <c r="O39" s="31">
        <f>26100</f>
        <v>26100</v>
      </c>
      <c r="P39" s="32" t="s">
        <v>904</v>
      </c>
      <c r="Q39" s="31">
        <f>27735</f>
        <v>27735</v>
      </c>
      <c r="R39" s="32" t="s">
        <v>936</v>
      </c>
      <c r="S39" s="33">
        <f>27017.75</f>
        <v>27017.75</v>
      </c>
      <c r="T39" s="30">
        <f>183233</f>
        <v>183233</v>
      </c>
      <c r="U39" s="30">
        <f>72827</f>
        <v>72827</v>
      </c>
      <c r="V39" s="30">
        <f>4963129340</f>
        <v>4963129340</v>
      </c>
      <c r="W39" s="30">
        <f>1987086480</f>
        <v>1987086480</v>
      </c>
      <c r="X39" s="34">
        <f>20</f>
        <v>20</v>
      </c>
    </row>
    <row r="40" spans="1:24" x14ac:dyDescent="0.15">
      <c r="A40" s="25" t="s">
        <v>993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5150</f>
        <v>5150</v>
      </c>
      <c r="L40" s="32" t="s">
        <v>904</v>
      </c>
      <c r="M40" s="31">
        <f>5400</f>
        <v>5400</v>
      </c>
      <c r="N40" s="32" t="s">
        <v>87</v>
      </c>
      <c r="O40" s="31">
        <f>4950</f>
        <v>4950</v>
      </c>
      <c r="P40" s="32" t="s">
        <v>813</v>
      </c>
      <c r="Q40" s="31">
        <f>5130</f>
        <v>5130</v>
      </c>
      <c r="R40" s="32" t="s">
        <v>936</v>
      </c>
      <c r="S40" s="33">
        <f>5111.25</f>
        <v>5111.25</v>
      </c>
      <c r="T40" s="30">
        <f>5290</f>
        <v>5290</v>
      </c>
      <c r="U40" s="30" t="str">
        <f t="shared" ref="U40:U48" si="0">"－"</f>
        <v>－</v>
      </c>
      <c r="V40" s="30">
        <f>27210095</f>
        <v>27210095</v>
      </c>
      <c r="W40" s="30" t="str">
        <f t="shared" ref="W40:W48" si="1">"－"</f>
        <v>－</v>
      </c>
      <c r="X40" s="34">
        <f>20</f>
        <v>20</v>
      </c>
    </row>
    <row r="41" spans="1:24" x14ac:dyDescent="0.15">
      <c r="A41" s="25" t="s">
        <v>993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9793</f>
        <v>9793</v>
      </c>
      <c r="L41" s="32" t="s">
        <v>904</v>
      </c>
      <c r="M41" s="31">
        <f>10045</f>
        <v>10045</v>
      </c>
      <c r="N41" s="32" t="s">
        <v>812</v>
      </c>
      <c r="O41" s="31">
        <f>9501</f>
        <v>9501</v>
      </c>
      <c r="P41" s="32" t="s">
        <v>695</v>
      </c>
      <c r="Q41" s="31">
        <f>9783</f>
        <v>9783</v>
      </c>
      <c r="R41" s="32" t="s">
        <v>936</v>
      </c>
      <c r="S41" s="33">
        <f>9748.06</f>
        <v>9748.06</v>
      </c>
      <c r="T41" s="30">
        <f>1220</f>
        <v>1220</v>
      </c>
      <c r="U41" s="30" t="str">
        <f t="shared" si="0"/>
        <v>－</v>
      </c>
      <c r="V41" s="30">
        <f>11952953</f>
        <v>11952953</v>
      </c>
      <c r="W41" s="30" t="str">
        <f t="shared" si="1"/>
        <v>－</v>
      </c>
      <c r="X41" s="34">
        <f>18</f>
        <v>18</v>
      </c>
    </row>
    <row r="42" spans="1:24" x14ac:dyDescent="0.15">
      <c r="A42" s="25" t="s">
        <v>993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17985</f>
        <v>17985</v>
      </c>
      <c r="L42" s="32" t="s">
        <v>904</v>
      </c>
      <c r="M42" s="31">
        <f>18280</f>
        <v>18280</v>
      </c>
      <c r="N42" s="32" t="s">
        <v>908</v>
      </c>
      <c r="O42" s="31">
        <f>16990</f>
        <v>16990</v>
      </c>
      <c r="P42" s="32" t="s">
        <v>80</v>
      </c>
      <c r="Q42" s="31">
        <f>18110</f>
        <v>18110</v>
      </c>
      <c r="R42" s="32" t="s">
        <v>266</v>
      </c>
      <c r="S42" s="33">
        <f>17764.58</f>
        <v>17764.580000000002</v>
      </c>
      <c r="T42" s="30">
        <f>49</f>
        <v>49</v>
      </c>
      <c r="U42" s="30" t="str">
        <f t="shared" si="0"/>
        <v>－</v>
      </c>
      <c r="V42" s="30">
        <f>853565</f>
        <v>853565</v>
      </c>
      <c r="W42" s="30" t="str">
        <f t="shared" si="1"/>
        <v>－</v>
      </c>
      <c r="X42" s="34">
        <f>12</f>
        <v>12</v>
      </c>
    </row>
    <row r="43" spans="1:24" x14ac:dyDescent="0.15">
      <c r="A43" s="25" t="s">
        <v>993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15000</f>
        <v>15000</v>
      </c>
      <c r="L43" s="32" t="s">
        <v>821</v>
      </c>
      <c r="M43" s="31">
        <f>15915</f>
        <v>15915</v>
      </c>
      <c r="N43" s="32" t="s">
        <v>816</v>
      </c>
      <c r="O43" s="31">
        <f>15000</f>
        <v>15000</v>
      </c>
      <c r="P43" s="32" t="s">
        <v>821</v>
      </c>
      <c r="Q43" s="31">
        <f>15050</f>
        <v>15050</v>
      </c>
      <c r="R43" s="32" t="s">
        <v>815</v>
      </c>
      <c r="S43" s="33">
        <f>15301.67</f>
        <v>15301.67</v>
      </c>
      <c r="T43" s="30">
        <f>60</f>
        <v>60</v>
      </c>
      <c r="U43" s="30" t="str">
        <f t="shared" si="0"/>
        <v>－</v>
      </c>
      <c r="V43" s="30">
        <f>904985</f>
        <v>904985</v>
      </c>
      <c r="W43" s="30" t="str">
        <f t="shared" si="1"/>
        <v>－</v>
      </c>
      <c r="X43" s="34">
        <f>6</f>
        <v>6</v>
      </c>
    </row>
    <row r="44" spans="1:24" x14ac:dyDescent="0.15">
      <c r="A44" s="25" t="s">
        <v>993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11290</f>
        <v>11290</v>
      </c>
      <c r="L44" s="32" t="s">
        <v>904</v>
      </c>
      <c r="M44" s="31">
        <f>11380</f>
        <v>11380</v>
      </c>
      <c r="N44" s="32" t="s">
        <v>816</v>
      </c>
      <c r="O44" s="31">
        <f>10750</f>
        <v>10750</v>
      </c>
      <c r="P44" s="32" t="s">
        <v>80</v>
      </c>
      <c r="Q44" s="31">
        <f>11100</f>
        <v>11100</v>
      </c>
      <c r="R44" s="32" t="s">
        <v>936</v>
      </c>
      <c r="S44" s="33">
        <f>11041.05</f>
        <v>11041.05</v>
      </c>
      <c r="T44" s="30">
        <f>1351</f>
        <v>1351</v>
      </c>
      <c r="U44" s="30" t="str">
        <f t="shared" si="0"/>
        <v>－</v>
      </c>
      <c r="V44" s="30">
        <f>14901320</f>
        <v>14901320</v>
      </c>
      <c r="W44" s="30" t="str">
        <f t="shared" si="1"/>
        <v>－</v>
      </c>
      <c r="X44" s="34">
        <f>19</f>
        <v>19</v>
      </c>
    </row>
    <row r="45" spans="1:24" x14ac:dyDescent="0.15">
      <c r="A45" s="25" t="s">
        <v>993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5580</f>
        <v>5580</v>
      </c>
      <c r="L45" s="32" t="s">
        <v>904</v>
      </c>
      <c r="M45" s="31">
        <f>5800</f>
        <v>5800</v>
      </c>
      <c r="N45" s="32" t="s">
        <v>66</v>
      </c>
      <c r="O45" s="31">
        <f>5360</f>
        <v>5360</v>
      </c>
      <c r="P45" s="32" t="s">
        <v>80</v>
      </c>
      <c r="Q45" s="31">
        <f>5590</f>
        <v>5590</v>
      </c>
      <c r="R45" s="32" t="s">
        <v>936</v>
      </c>
      <c r="S45" s="33">
        <f>5640</f>
        <v>5640</v>
      </c>
      <c r="T45" s="30">
        <f>2569</f>
        <v>2569</v>
      </c>
      <c r="U45" s="30" t="str">
        <f t="shared" si="0"/>
        <v>－</v>
      </c>
      <c r="V45" s="30">
        <f>14423210</f>
        <v>14423210</v>
      </c>
      <c r="W45" s="30" t="str">
        <f t="shared" si="1"/>
        <v>－</v>
      </c>
      <c r="X45" s="34">
        <f>20</f>
        <v>20</v>
      </c>
    </row>
    <row r="46" spans="1:24" x14ac:dyDescent="0.15">
      <c r="A46" s="25" t="s">
        <v>993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3035</f>
        <v>3035</v>
      </c>
      <c r="L46" s="32" t="s">
        <v>904</v>
      </c>
      <c r="M46" s="31">
        <f>3150</f>
        <v>3150</v>
      </c>
      <c r="N46" s="32" t="s">
        <v>266</v>
      </c>
      <c r="O46" s="31">
        <f>2962</f>
        <v>2962</v>
      </c>
      <c r="P46" s="32" t="s">
        <v>80</v>
      </c>
      <c r="Q46" s="31">
        <f>3060</f>
        <v>3060</v>
      </c>
      <c r="R46" s="32" t="s">
        <v>936</v>
      </c>
      <c r="S46" s="33">
        <f>3047.1</f>
        <v>3047.1</v>
      </c>
      <c r="T46" s="30">
        <f>12957</f>
        <v>12957</v>
      </c>
      <c r="U46" s="30" t="str">
        <f t="shared" si="0"/>
        <v>－</v>
      </c>
      <c r="V46" s="30">
        <f>39513680</f>
        <v>39513680</v>
      </c>
      <c r="W46" s="30" t="str">
        <f t="shared" si="1"/>
        <v>－</v>
      </c>
      <c r="X46" s="34">
        <f>20</f>
        <v>20</v>
      </c>
    </row>
    <row r="47" spans="1:24" x14ac:dyDescent="0.15">
      <c r="A47" s="25" t="s">
        <v>993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3100</f>
        <v>3100</v>
      </c>
      <c r="L47" s="32" t="s">
        <v>904</v>
      </c>
      <c r="M47" s="31">
        <f>3140</f>
        <v>3140</v>
      </c>
      <c r="N47" s="32" t="s">
        <v>908</v>
      </c>
      <c r="O47" s="31">
        <f>2980</f>
        <v>2980</v>
      </c>
      <c r="P47" s="32" t="s">
        <v>80</v>
      </c>
      <c r="Q47" s="31">
        <f>3050</f>
        <v>3050</v>
      </c>
      <c r="R47" s="32" t="s">
        <v>936</v>
      </c>
      <c r="S47" s="33">
        <f>3058.25</f>
        <v>3058.25</v>
      </c>
      <c r="T47" s="30">
        <f>937</f>
        <v>937</v>
      </c>
      <c r="U47" s="30" t="str">
        <f t="shared" si="0"/>
        <v>－</v>
      </c>
      <c r="V47" s="30">
        <f>2883362</f>
        <v>2883362</v>
      </c>
      <c r="W47" s="30" t="str">
        <f t="shared" si="1"/>
        <v>－</v>
      </c>
      <c r="X47" s="34">
        <f>20</f>
        <v>20</v>
      </c>
    </row>
    <row r="48" spans="1:24" x14ac:dyDescent="0.15">
      <c r="A48" s="25" t="s">
        <v>993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50880</f>
        <v>50880</v>
      </c>
      <c r="L48" s="32" t="s">
        <v>904</v>
      </c>
      <c r="M48" s="31">
        <f>53970</f>
        <v>53970</v>
      </c>
      <c r="N48" s="32" t="s">
        <v>908</v>
      </c>
      <c r="O48" s="31">
        <f>49800</f>
        <v>49800</v>
      </c>
      <c r="P48" s="32" t="s">
        <v>904</v>
      </c>
      <c r="Q48" s="31">
        <f>52550</f>
        <v>52550</v>
      </c>
      <c r="R48" s="32" t="s">
        <v>936</v>
      </c>
      <c r="S48" s="33">
        <f>51905</f>
        <v>51905</v>
      </c>
      <c r="T48" s="30">
        <f>998</f>
        <v>998</v>
      </c>
      <c r="U48" s="30" t="str">
        <f t="shared" si="0"/>
        <v>－</v>
      </c>
      <c r="V48" s="30">
        <f>52263230</f>
        <v>52263230</v>
      </c>
      <c r="W48" s="30" t="str">
        <f t="shared" si="1"/>
        <v>－</v>
      </c>
      <c r="X48" s="34">
        <f>20</f>
        <v>20</v>
      </c>
    </row>
    <row r="49" spans="1:24" x14ac:dyDescent="0.15">
      <c r="A49" s="25" t="s">
        <v>993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35900</f>
        <v>35900</v>
      </c>
      <c r="L49" s="32" t="s">
        <v>80</v>
      </c>
      <c r="M49" s="31">
        <f>37480</f>
        <v>37480</v>
      </c>
      <c r="N49" s="32" t="s">
        <v>815</v>
      </c>
      <c r="O49" s="31">
        <f>35900</f>
        <v>35900</v>
      </c>
      <c r="P49" s="32" t="s">
        <v>80</v>
      </c>
      <c r="Q49" s="31">
        <f>36690</f>
        <v>36690</v>
      </c>
      <c r="R49" s="32" t="s">
        <v>94</v>
      </c>
      <c r="S49" s="33">
        <f>36606</f>
        <v>36606</v>
      </c>
      <c r="T49" s="30">
        <f>75</f>
        <v>75</v>
      </c>
      <c r="U49" s="30">
        <f>2</f>
        <v>2</v>
      </c>
      <c r="V49" s="30">
        <f>2754970</f>
        <v>2754970</v>
      </c>
      <c r="W49" s="30">
        <f>73520</f>
        <v>73520</v>
      </c>
      <c r="X49" s="34">
        <f>10</f>
        <v>10</v>
      </c>
    </row>
    <row r="50" spans="1:24" x14ac:dyDescent="0.15">
      <c r="A50" s="25" t="s">
        <v>993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26685</f>
        <v>26685</v>
      </c>
      <c r="L50" s="32" t="s">
        <v>904</v>
      </c>
      <c r="M50" s="31">
        <f>28230</f>
        <v>28230</v>
      </c>
      <c r="N50" s="32" t="s">
        <v>908</v>
      </c>
      <c r="O50" s="31">
        <f>26110</f>
        <v>26110</v>
      </c>
      <c r="P50" s="32" t="s">
        <v>904</v>
      </c>
      <c r="Q50" s="31">
        <f>28010</f>
        <v>28010</v>
      </c>
      <c r="R50" s="32" t="s">
        <v>936</v>
      </c>
      <c r="S50" s="33">
        <f>27200.88</f>
        <v>27200.880000000001</v>
      </c>
      <c r="T50" s="30">
        <f>813835</f>
        <v>813835</v>
      </c>
      <c r="U50" s="30">
        <f>810549</f>
        <v>810549</v>
      </c>
      <c r="V50" s="30">
        <f>22281705226</f>
        <v>22281705226</v>
      </c>
      <c r="W50" s="30">
        <f>22190329756</f>
        <v>22190329756</v>
      </c>
      <c r="X50" s="34">
        <f>17</f>
        <v>17</v>
      </c>
    </row>
    <row r="51" spans="1:24" x14ac:dyDescent="0.15">
      <c r="A51" s="25" t="s">
        <v>993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1989.5</f>
        <v>1989.5</v>
      </c>
      <c r="L51" s="32" t="s">
        <v>904</v>
      </c>
      <c r="M51" s="31">
        <f>2067.5</f>
        <v>2067.5</v>
      </c>
      <c r="N51" s="32" t="s">
        <v>936</v>
      </c>
      <c r="O51" s="31">
        <f>1986</f>
        <v>1986</v>
      </c>
      <c r="P51" s="32" t="s">
        <v>904</v>
      </c>
      <c r="Q51" s="31">
        <f>2067.5</f>
        <v>2067.5</v>
      </c>
      <c r="R51" s="32" t="s">
        <v>936</v>
      </c>
      <c r="S51" s="33">
        <f>2019.92</f>
        <v>2019.92</v>
      </c>
      <c r="T51" s="30">
        <f>189820</f>
        <v>189820</v>
      </c>
      <c r="U51" s="30">
        <f>159730</f>
        <v>159730</v>
      </c>
      <c r="V51" s="30">
        <f>380536482</f>
        <v>380536482</v>
      </c>
      <c r="W51" s="30">
        <f>319443302</f>
        <v>319443302</v>
      </c>
      <c r="X51" s="34">
        <f>19</f>
        <v>19</v>
      </c>
    </row>
    <row r="52" spans="1:24" x14ac:dyDescent="0.15">
      <c r="A52" s="25" t="s">
        <v>993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1617</f>
        <v>1617</v>
      </c>
      <c r="L52" s="32" t="s">
        <v>904</v>
      </c>
      <c r="M52" s="31">
        <f>1648</f>
        <v>1648</v>
      </c>
      <c r="N52" s="32" t="s">
        <v>815</v>
      </c>
      <c r="O52" s="31">
        <f>1587</f>
        <v>1587</v>
      </c>
      <c r="P52" s="32" t="s">
        <v>904</v>
      </c>
      <c r="Q52" s="31">
        <f>1640</f>
        <v>1640</v>
      </c>
      <c r="R52" s="32" t="s">
        <v>936</v>
      </c>
      <c r="S52" s="33">
        <f>1621.47</f>
        <v>1621.47</v>
      </c>
      <c r="T52" s="30">
        <f>67470</f>
        <v>67470</v>
      </c>
      <c r="U52" s="30">
        <f>65980</f>
        <v>65980</v>
      </c>
      <c r="V52" s="30">
        <f>108447153</f>
        <v>108447153</v>
      </c>
      <c r="W52" s="30">
        <f>106019303</f>
        <v>106019303</v>
      </c>
      <c r="X52" s="34">
        <f>17</f>
        <v>17</v>
      </c>
    </row>
    <row r="53" spans="1:24" x14ac:dyDescent="0.15">
      <c r="A53" s="25" t="s">
        <v>993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4415</f>
        <v>4415</v>
      </c>
      <c r="L53" s="32" t="s">
        <v>904</v>
      </c>
      <c r="M53" s="31">
        <f>4500</f>
        <v>4500</v>
      </c>
      <c r="N53" s="32" t="s">
        <v>904</v>
      </c>
      <c r="O53" s="31">
        <f>4140</f>
        <v>4140</v>
      </c>
      <c r="P53" s="32" t="s">
        <v>94</v>
      </c>
      <c r="Q53" s="31">
        <f>4175</f>
        <v>4175</v>
      </c>
      <c r="R53" s="32" t="s">
        <v>936</v>
      </c>
      <c r="S53" s="33">
        <f>4312.25</f>
        <v>4312.25</v>
      </c>
      <c r="T53" s="30">
        <f>945806</f>
        <v>945806</v>
      </c>
      <c r="U53" s="30">
        <f>700000</f>
        <v>700000</v>
      </c>
      <c r="V53" s="30">
        <f>4005122780</f>
        <v>4005122780</v>
      </c>
      <c r="W53" s="30">
        <f>2950770000</f>
        <v>2950770000</v>
      </c>
      <c r="X53" s="34">
        <f>20</f>
        <v>20</v>
      </c>
    </row>
    <row r="54" spans="1:24" x14ac:dyDescent="0.15">
      <c r="A54" s="25" t="s">
        <v>993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5180</f>
        <v>5180</v>
      </c>
      <c r="L54" s="32" t="s">
        <v>904</v>
      </c>
      <c r="M54" s="31">
        <f>5250</f>
        <v>5250</v>
      </c>
      <c r="N54" s="32" t="s">
        <v>904</v>
      </c>
      <c r="O54" s="31">
        <f>4920</f>
        <v>4920</v>
      </c>
      <c r="P54" s="32" t="s">
        <v>908</v>
      </c>
      <c r="Q54" s="31">
        <f>4970</f>
        <v>4970</v>
      </c>
      <c r="R54" s="32" t="s">
        <v>936</v>
      </c>
      <c r="S54" s="33">
        <f>5058.25</f>
        <v>5058.25</v>
      </c>
      <c r="T54" s="30">
        <f>786894</f>
        <v>786894</v>
      </c>
      <c r="U54" s="30">
        <f>560000</f>
        <v>560000</v>
      </c>
      <c r="V54" s="30">
        <f>3939013455</f>
        <v>3939013455</v>
      </c>
      <c r="W54" s="30">
        <f>2810721400</f>
        <v>2810721400</v>
      </c>
      <c r="X54" s="34">
        <f>20</f>
        <v>20</v>
      </c>
    </row>
    <row r="55" spans="1:24" x14ac:dyDescent="0.15">
      <c r="A55" s="25" t="s">
        <v>993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15345</f>
        <v>15345</v>
      </c>
      <c r="L55" s="32" t="s">
        <v>904</v>
      </c>
      <c r="M55" s="31">
        <f>17245</f>
        <v>17245</v>
      </c>
      <c r="N55" s="32" t="s">
        <v>94</v>
      </c>
      <c r="O55" s="31">
        <f>14685</f>
        <v>14685</v>
      </c>
      <c r="P55" s="32" t="s">
        <v>904</v>
      </c>
      <c r="Q55" s="31">
        <f>16950</f>
        <v>16950</v>
      </c>
      <c r="R55" s="32" t="s">
        <v>936</v>
      </c>
      <c r="S55" s="33">
        <f>16010.75</f>
        <v>16010.75</v>
      </c>
      <c r="T55" s="30">
        <f>19822557</f>
        <v>19822557</v>
      </c>
      <c r="U55" s="30">
        <f>25155</f>
        <v>25155</v>
      </c>
      <c r="V55" s="30">
        <f>315020860142</f>
        <v>315020860142</v>
      </c>
      <c r="W55" s="30">
        <f>374337847</f>
        <v>374337847</v>
      </c>
      <c r="X55" s="34">
        <f>20</f>
        <v>20</v>
      </c>
    </row>
    <row r="56" spans="1:24" x14ac:dyDescent="0.15">
      <c r="A56" s="25" t="s">
        <v>993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1652</f>
        <v>1652</v>
      </c>
      <c r="L56" s="32" t="s">
        <v>904</v>
      </c>
      <c r="M56" s="31">
        <f>1725</f>
        <v>1725</v>
      </c>
      <c r="N56" s="32" t="s">
        <v>904</v>
      </c>
      <c r="O56" s="31">
        <f>1456</f>
        <v>1456</v>
      </c>
      <c r="P56" s="32" t="s">
        <v>94</v>
      </c>
      <c r="Q56" s="31">
        <f>1479</f>
        <v>1479</v>
      </c>
      <c r="R56" s="32" t="s">
        <v>936</v>
      </c>
      <c r="S56" s="33">
        <f>1577.55</f>
        <v>1577.55</v>
      </c>
      <c r="T56" s="30">
        <f>242101397</f>
        <v>242101397</v>
      </c>
      <c r="U56" s="30">
        <f>646</f>
        <v>646</v>
      </c>
      <c r="V56" s="30">
        <f>385206158650</f>
        <v>385206158650</v>
      </c>
      <c r="W56" s="30">
        <f>996946</f>
        <v>996946</v>
      </c>
      <c r="X56" s="34">
        <f>20</f>
        <v>20</v>
      </c>
    </row>
    <row r="57" spans="1:24" x14ac:dyDescent="0.15">
      <c r="A57" s="25" t="s">
        <v>993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13590</f>
        <v>13590</v>
      </c>
      <c r="L57" s="32" t="s">
        <v>904</v>
      </c>
      <c r="M57" s="31">
        <f>14935</f>
        <v>14935</v>
      </c>
      <c r="N57" s="32" t="s">
        <v>908</v>
      </c>
      <c r="O57" s="31">
        <f>13250</f>
        <v>13250</v>
      </c>
      <c r="P57" s="32" t="s">
        <v>904</v>
      </c>
      <c r="Q57" s="31">
        <f>14805</f>
        <v>14805</v>
      </c>
      <c r="R57" s="32" t="s">
        <v>936</v>
      </c>
      <c r="S57" s="33">
        <f>14189.5</f>
        <v>14189.5</v>
      </c>
      <c r="T57" s="30">
        <f>3722</f>
        <v>3722</v>
      </c>
      <c r="U57" s="30" t="str">
        <f t="shared" ref="U57:U65" si="2">"－"</f>
        <v>－</v>
      </c>
      <c r="V57" s="30">
        <f>53317820</f>
        <v>53317820</v>
      </c>
      <c r="W57" s="30" t="str">
        <f t="shared" ref="W57:W65" si="3">"－"</f>
        <v>－</v>
      </c>
      <c r="X57" s="34">
        <f>20</f>
        <v>20</v>
      </c>
    </row>
    <row r="58" spans="1:24" x14ac:dyDescent="0.15">
      <c r="A58" s="25" t="s">
        <v>993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5070</f>
        <v>5070</v>
      </c>
      <c r="L58" s="32" t="s">
        <v>904</v>
      </c>
      <c r="M58" s="31">
        <f>5130</f>
        <v>5130</v>
      </c>
      <c r="N58" s="32" t="s">
        <v>904</v>
      </c>
      <c r="O58" s="31">
        <f>4765</f>
        <v>4765</v>
      </c>
      <c r="P58" s="32" t="s">
        <v>94</v>
      </c>
      <c r="Q58" s="31">
        <f>4830</f>
        <v>4830</v>
      </c>
      <c r="R58" s="32" t="s">
        <v>936</v>
      </c>
      <c r="S58" s="33">
        <f>4901.43</f>
        <v>4901.43</v>
      </c>
      <c r="T58" s="30">
        <f>747</f>
        <v>747</v>
      </c>
      <c r="U58" s="30" t="str">
        <f t="shared" si="2"/>
        <v>－</v>
      </c>
      <c r="V58" s="30">
        <f>3706310</f>
        <v>3706310</v>
      </c>
      <c r="W58" s="30" t="str">
        <f t="shared" si="3"/>
        <v>－</v>
      </c>
      <c r="X58" s="34">
        <f>14</f>
        <v>14</v>
      </c>
    </row>
    <row r="59" spans="1:24" x14ac:dyDescent="0.15">
      <c r="A59" s="25" t="s">
        <v>993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1977</f>
        <v>1977</v>
      </c>
      <c r="L59" s="32" t="s">
        <v>904</v>
      </c>
      <c r="M59" s="31">
        <f>2059</f>
        <v>2059</v>
      </c>
      <c r="N59" s="32" t="s">
        <v>904</v>
      </c>
      <c r="O59" s="31">
        <f>1794</f>
        <v>1794</v>
      </c>
      <c r="P59" s="32" t="s">
        <v>94</v>
      </c>
      <c r="Q59" s="31">
        <f>1829</f>
        <v>1829</v>
      </c>
      <c r="R59" s="32" t="s">
        <v>936</v>
      </c>
      <c r="S59" s="33">
        <f>1895.05</f>
        <v>1895.05</v>
      </c>
      <c r="T59" s="30">
        <f>23623</f>
        <v>23623</v>
      </c>
      <c r="U59" s="30" t="str">
        <f t="shared" si="2"/>
        <v>－</v>
      </c>
      <c r="V59" s="30">
        <f>45233836</f>
        <v>45233836</v>
      </c>
      <c r="W59" s="30" t="str">
        <f t="shared" si="3"/>
        <v>－</v>
      </c>
      <c r="X59" s="34">
        <f>20</f>
        <v>20</v>
      </c>
    </row>
    <row r="60" spans="1:24" x14ac:dyDescent="0.15">
      <c r="A60" s="25" t="s">
        <v>993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13045</f>
        <v>13045</v>
      </c>
      <c r="L60" s="32" t="s">
        <v>904</v>
      </c>
      <c r="M60" s="31">
        <f>14400</f>
        <v>14400</v>
      </c>
      <c r="N60" s="32" t="s">
        <v>87</v>
      </c>
      <c r="O60" s="31">
        <f>12400</f>
        <v>12400</v>
      </c>
      <c r="P60" s="32" t="s">
        <v>904</v>
      </c>
      <c r="Q60" s="31">
        <f>13720</f>
        <v>13720</v>
      </c>
      <c r="R60" s="32" t="s">
        <v>936</v>
      </c>
      <c r="S60" s="33">
        <f>13403.95</f>
        <v>13403.95</v>
      </c>
      <c r="T60" s="30">
        <f>4310</f>
        <v>4310</v>
      </c>
      <c r="U60" s="30" t="str">
        <f t="shared" si="2"/>
        <v>－</v>
      </c>
      <c r="V60" s="30">
        <f>57935250</f>
        <v>57935250</v>
      </c>
      <c r="W60" s="30" t="str">
        <f t="shared" si="3"/>
        <v>－</v>
      </c>
      <c r="X60" s="34">
        <f>19</f>
        <v>19</v>
      </c>
    </row>
    <row r="61" spans="1:24" x14ac:dyDescent="0.15">
      <c r="A61" s="25" t="s">
        <v>993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4530</f>
        <v>4530</v>
      </c>
      <c r="L61" s="32" t="s">
        <v>904</v>
      </c>
      <c r="M61" s="31">
        <f>4530</f>
        <v>4530</v>
      </c>
      <c r="N61" s="32" t="s">
        <v>904</v>
      </c>
      <c r="O61" s="31">
        <f>4412</f>
        <v>4412</v>
      </c>
      <c r="P61" s="32" t="s">
        <v>912</v>
      </c>
      <c r="Q61" s="31">
        <f>4412</f>
        <v>4412</v>
      </c>
      <c r="R61" s="32" t="s">
        <v>821</v>
      </c>
      <c r="S61" s="33">
        <f>4451.33</f>
        <v>4451.33</v>
      </c>
      <c r="T61" s="30">
        <f>1160</f>
        <v>1160</v>
      </c>
      <c r="U61" s="30" t="str">
        <f t="shared" si="2"/>
        <v>－</v>
      </c>
      <c r="V61" s="30">
        <f>5250080</f>
        <v>5250080</v>
      </c>
      <c r="W61" s="30" t="str">
        <f t="shared" si="3"/>
        <v>－</v>
      </c>
      <c r="X61" s="34">
        <f>3</f>
        <v>3</v>
      </c>
    </row>
    <row r="62" spans="1:24" x14ac:dyDescent="0.15">
      <c r="A62" s="25" t="s">
        <v>993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1938</f>
        <v>1938</v>
      </c>
      <c r="L62" s="32" t="s">
        <v>904</v>
      </c>
      <c r="M62" s="31">
        <f>2040</f>
        <v>2040</v>
      </c>
      <c r="N62" s="32" t="s">
        <v>70</v>
      </c>
      <c r="O62" s="31">
        <f>1770</f>
        <v>1770</v>
      </c>
      <c r="P62" s="32" t="s">
        <v>908</v>
      </c>
      <c r="Q62" s="31">
        <f>1809</f>
        <v>1809</v>
      </c>
      <c r="R62" s="32" t="s">
        <v>936</v>
      </c>
      <c r="S62" s="33">
        <f>1870.8</f>
        <v>1870.8</v>
      </c>
      <c r="T62" s="30">
        <f>86340</f>
        <v>86340</v>
      </c>
      <c r="U62" s="30" t="str">
        <f t="shared" si="2"/>
        <v>－</v>
      </c>
      <c r="V62" s="30">
        <f>159164820</f>
        <v>159164820</v>
      </c>
      <c r="W62" s="30" t="str">
        <f t="shared" si="3"/>
        <v>－</v>
      </c>
      <c r="X62" s="34">
        <f>20</f>
        <v>20</v>
      </c>
    </row>
    <row r="63" spans="1:24" x14ac:dyDescent="0.15">
      <c r="A63" s="25" t="s">
        <v>993</v>
      </c>
      <c r="B63" s="25" t="s">
        <v>221</v>
      </c>
      <c r="C63" s="25" t="s">
        <v>222</v>
      </c>
      <c r="D63" s="25" t="s">
        <v>223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798</f>
        <v>798</v>
      </c>
      <c r="L63" s="32" t="s">
        <v>904</v>
      </c>
      <c r="M63" s="31">
        <f>839</f>
        <v>839</v>
      </c>
      <c r="N63" s="32" t="s">
        <v>904</v>
      </c>
      <c r="O63" s="31">
        <f>720</f>
        <v>720</v>
      </c>
      <c r="P63" s="32" t="s">
        <v>908</v>
      </c>
      <c r="Q63" s="31">
        <f>731</f>
        <v>731</v>
      </c>
      <c r="R63" s="32" t="s">
        <v>936</v>
      </c>
      <c r="S63" s="33">
        <f>759.15</f>
        <v>759.15</v>
      </c>
      <c r="T63" s="30">
        <f>34078</f>
        <v>34078</v>
      </c>
      <c r="U63" s="30" t="str">
        <f t="shared" si="2"/>
        <v>－</v>
      </c>
      <c r="V63" s="30">
        <f>26066491</f>
        <v>26066491</v>
      </c>
      <c r="W63" s="30" t="str">
        <f t="shared" si="3"/>
        <v>－</v>
      </c>
      <c r="X63" s="34">
        <f>20</f>
        <v>20</v>
      </c>
    </row>
    <row r="64" spans="1:24" x14ac:dyDescent="0.15">
      <c r="A64" s="25" t="s">
        <v>993</v>
      </c>
      <c r="B64" s="25" t="s">
        <v>224</v>
      </c>
      <c r="C64" s="25" t="s">
        <v>225</v>
      </c>
      <c r="D64" s="25" t="s">
        <v>226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1927.5</f>
        <v>1927.5</v>
      </c>
      <c r="L64" s="32" t="s">
        <v>904</v>
      </c>
      <c r="M64" s="31">
        <f>1980.5</f>
        <v>1980.5</v>
      </c>
      <c r="N64" s="32" t="s">
        <v>908</v>
      </c>
      <c r="O64" s="31">
        <f>1881.5</f>
        <v>1881.5</v>
      </c>
      <c r="P64" s="32" t="s">
        <v>70</v>
      </c>
      <c r="Q64" s="31">
        <f>1959.5</f>
        <v>1959.5</v>
      </c>
      <c r="R64" s="32" t="s">
        <v>936</v>
      </c>
      <c r="S64" s="33">
        <f>1935.73</f>
        <v>1935.73</v>
      </c>
      <c r="T64" s="30">
        <f>670240</f>
        <v>670240</v>
      </c>
      <c r="U64" s="30" t="str">
        <f t="shared" si="2"/>
        <v>－</v>
      </c>
      <c r="V64" s="30">
        <f>1285396690</f>
        <v>1285396690</v>
      </c>
      <c r="W64" s="30" t="str">
        <f t="shared" si="3"/>
        <v>－</v>
      </c>
      <c r="X64" s="34">
        <f>20</f>
        <v>20</v>
      </c>
    </row>
    <row r="65" spans="1:24" x14ac:dyDescent="0.15">
      <c r="A65" s="25" t="s">
        <v>993</v>
      </c>
      <c r="B65" s="25" t="s">
        <v>227</v>
      </c>
      <c r="C65" s="25" t="s">
        <v>228</v>
      </c>
      <c r="D65" s="25" t="s">
        <v>229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17055</f>
        <v>17055</v>
      </c>
      <c r="L65" s="32" t="s">
        <v>904</v>
      </c>
      <c r="M65" s="31">
        <f>17750</f>
        <v>17750</v>
      </c>
      <c r="N65" s="32" t="s">
        <v>908</v>
      </c>
      <c r="O65" s="31">
        <f>16860</f>
        <v>16860</v>
      </c>
      <c r="P65" s="32" t="s">
        <v>904</v>
      </c>
      <c r="Q65" s="31">
        <f>17530</f>
        <v>17530</v>
      </c>
      <c r="R65" s="32" t="s">
        <v>936</v>
      </c>
      <c r="S65" s="33">
        <f>17329.25</f>
        <v>17329.25</v>
      </c>
      <c r="T65" s="30">
        <f>5477</f>
        <v>5477</v>
      </c>
      <c r="U65" s="30" t="str">
        <f t="shared" si="2"/>
        <v>－</v>
      </c>
      <c r="V65" s="30">
        <f>93562375</f>
        <v>93562375</v>
      </c>
      <c r="W65" s="30" t="str">
        <f t="shared" si="3"/>
        <v>－</v>
      </c>
      <c r="X65" s="34">
        <f>20</f>
        <v>20</v>
      </c>
    </row>
    <row r="66" spans="1:24" x14ac:dyDescent="0.15">
      <c r="A66" s="25" t="s">
        <v>993</v>
      </c>
      <c r="B66" s="25" t="s">
        <v>230</v>
      </c>
      <c r="C66" s="25" t="s">
        <v>231</v>
      </c>
      <c r="D66" s="25" t="s">
        <v>232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1933</f>
        <v>1933</v>
      </c>
      <c r="L66" s="32" t="s">
        <v>904</v>
      </c>
      <c r="M66" s="31">
        <f>2022</f>
        <v>2022</v>
      </c>
      <c r="N66" s="32" t="s">
        <v>908</v>
      </c>
      <c r="O66" s="31">
        <f>1896</f>
        <v>1896</v>
      </c>
      <c r="P66" s="32" t="s">
        <v>904</v>
      </c>
      <c r="Q66" s="31">
        <f>2003</f>
        <v>2003</v>
      </c>
      <c r="R66" s="32" t="s">
        <v>936</v>
      </c>
      <c r="S66" s="33">
        <f>1969.45</f>
        <v>1969.45</v>
      </c>
      <c r="T66" s="30">
        <f>3602933</f>
        <v>3602933</v>
      </c>
      <c r="U66" s="30">
        <f>1364728</f>
        <v>1364728</v>
      </c>
      <c r="V66" s="30">
        <f>7103755717</f>
        <v>7103755717</v>
      </c>
      <c r="W66" s="30">
        <f>2691882368</f>
        <v>2691882368</v>
      </c>
      <c r="X66" s="34">
        <f>20</f>
        <v>20</v>
      </c>
    </row>
    <row r="67" spans="1:24" x14ac:dyDescent="0.15">
      <c r="A67" s="25" t="s">
        <v>993</v>
      </c>
      <c r="B67" s="25" t="s">
        <v>233</v>
      </c>
      <c r="C67" s="25" t="s">
        <v>234</v>
      </c>
      <c r="D67" s="25" t="s">
        <v>235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2030</f>
        <v>2030</v>
      </c>
      <c r="L67" s="32" t="s">
        <v>904</v>
      </c>
      <c r="M67" s="31">
        <f>2092</f>
        <v>2092</v>
      </c>
      <c r="N67" s="32" t="s">
        <v>936</v>
      </c>
      <c r="O67" s="31">
        <f>1992</f>
        <v>1992</v>
      </c>
      <c r="P67" s="32" t="s">
        <v>904</v>
      </c>
      <c r="Q67" s="31">
        <f>2092</f>
        <v>2092</v>
      </c>
      <c r="R67" s="32" t="s">
        <v>936</v>
      </c>
      <c r="S67" s="33">
        <f>2038.3</f>
        <v>2038.3</v>
      </c>
      <c r="T67" s="30">
        <f>5624999</f>
        <v>5624999</v>
      </c>
      <c r="U67" s="30">
        <f>3188330</f>
        <v>3188330</v>
      </c>
      <c r="V67" s="30">
        <f>11472287122</f>
        <v>11472287122</v>
      </c>
      <c r="W67" s="30">
        <f>6501246035</f>
        <v>6501246035</v>
      </c>
      <c r="X67" s="34">
        <f>20</f>
        <v>20</v>
      </c>
    </row>
    <row r="68" spans="1:24" x14ac:dyDescent="0.15">
      <c r="A68" s="25" t="s">
        <v>993</v>
      </c>
      <c r="B68" s="25" t="s">
        <v>236</v>
      </c>
      <c r="C68" s="25" t="s">
        <v>237</v>
      </c>
      <c r="D68" s="25" t="s">
        <v>238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1848</f>
        <v>1848</v>
      </c>
      <c r="L68" s="32" t="s">
        <v>904</v>
      </c>
      <c r="M68" s="31">
        <f>1928</f>
        <v>1928</v>
      </c>
      <c r="N68" s="32" t="s">
        <v>908</v>
      </c>
      <c r="O68" s="31">
        <f>1825</f>
        <v>1825</v>
      </c>
      <c r="P68" s="32" t="s">
        <v>904</v>
      </c>
      <c r="Q68" s="31">
        <f>1913</f>
        <v>1913</v>
      </c>
      <c r="R68" s="32" t="s">
        <v>936</v>
      </c>
      <c r="S68" s="33">
        <f>1892.4</f>
        <v>1892.4</v>
      </c>
      <c r="T68" s="30">
        <f>100425</f>
        <v>100425</v>
      </c>
      <c r="U68" s="30">
        <f>2</f>
        <v>2</v>
      </c>
      <c r="V68" s="30">
        <f>190522944</f>
        <v>190522944</v>
      </c>
      <c r="W68" s="30">
        <f>3782</f>
        <v>3782</v>
      </c>
      <c r="X68" s="34">
        <f>20</f>
        <v>20</v>
      </c>
    </row>
    <row r="69" spans="1:24" x14ac:dyDescent="0.15">
      <c r="A69" s="25" t="s">
        <v>993</v>
      </c>
      <c r="B69" s="25" t="s">
        <v>239</v>
      </c>
      <c r="C69" s="25" t="s">
        <v>240</v>
      </c>
      <c r="D69" s="25" t="s">
        <v>241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2371</f>
        <v>2371</v>
      </c>
      <c r="L69" s="32" t="s">
        <v>904</v>
      </c>
      <c r="M69" s="31">
        <f>2440</f>
        <v>2440</v>
      </c>
      <c r="N69" s="32" t="s">
        <v>87</v>
      </c>
      <c r="O69" s="31">
        <f>2330</f>
        <v>2330</v>
      </c>
      <c r="P69" s="32" t="s">
        <v>80</v>
      </c>
      <c r="Q69" s="31">
        <f>2400</f>
        <v>2400</v>
      </c>
      <c r="R69" s="32" t="s">
        <v>936</v>
      </c>
      <c r="S69" s="33">
        <f>2400.5</f>
        <v>2400.5</v>
      </c>
      <c r="T69" s="30">
        <f>355163</f>
        <v>355163</v>
      </c>
      <c r="U69" s="30">
        <f>2</f>
        <v>2</v>
      </c>
      <c r="V69" s="30">
        <f>853782987</f>
        <v>853782987</v>
      </c>
      <c r="W69" s="30">
        <f>4776</f>
        <v>4776</v>
      </c>
      <c r="X69" s="34">
        <f>20</f>
        <v>20</v>
      </c>
    </row>
    <row r="70" spans="1:24" x14ac:dyDescent="0.15">
      <c r="A70" s="25" t="s">
        <v>993</v>
      </c>
      <c r="B70" s="25" t="s">
        <v>242</v>
      </c>
      <c r="C70" s="25" t="s">
        <v>243</v>
      </c>
      <c r="D70" s="25" t="s">
        <v>244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23630</f>
        <v>23630</v>
      </c>
      <c r="L70" s="32" t="s">
        <v>904</v>
      </c>
      <c r="M70" s="31">
        <f>24235</f>
        <v>24235</v>
      </c>
      <c r="N70" s="32" t="s">
        <v>94</v>
      </c>
      <c r="O70" s="31">
        <f>23360</f>
        <v>23360</v>
      </c>
      <c r="P70" s="32" t="s">
        <v>80</v>
      </c>
      <c r="Q70" s="31">
        <f>24235</f>
        <v>24235</v>
      </c>
      <c r="R70" s="32" t="s">
        <v>94</v>
      </c>
      <c r="S70" s="33">
        <f>23663.13</f>
        <v>23663.13</v>
      </c>
      <c r="T70" s="30">
        <f>322</f>
        <v>322</v>
      </c>
      <c r="U70" s="30" t="str">
        <f>"－"</f>
        <v>－</v>
      </c>
      <c r="V70" s="30">
        <f>7786450</f>
        <v>7786450</v>
      </c>
      <c r="W70" s="30" t="str">
        <f>"－"</f>
        <v>－</v>
      </c>
      <c r="X70" s="34">
        <f>8</f>
        <v>8</v>
      </c>
    </row>
    <row r="71" spans="1:24" x14ac:dyDescent="0.15">
      <c r="A71" s="25" t="s">
        <v>993</v>
      </c>
      <c r="B71" s="25" t="s">
        <v>245</v>
      </c>
      <c r="C71" s="25" t="s">
        <v>246</v>
      </c>
      <c r="D71" s="25" t="s">
        <v>247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18715</f>
        <v>18715</v>
      </c>
      <c r="L71" s="32" t="s">
        <v>811</v>
      </c>
      <c r="M71" s="31">
        <f>19515</f>
        <v>19515</v>
      </c>
      <c r="N71" s="32" t="s">
        <v>812</v>
      </c>
      <c r="O71" s="31">
        <f>18715</f>
        <v>18715</v>
      </c>
      <c r="P71" s="32" t="s">
        <v>811</v>
      </c>
      <c r="Q71" s="31">
        <f>19510</f>
        <v>19510</v>
      </c>
      <c r="R71" s="32" t="s">
        <v>812</v>
      </c>
      <c r="S71" s="33">
        <f>18980</f>
        <v>18980</v>
      </c>
      <c r="T71" s="30">
        <f>673</f>
        <v>673</v>
      </c>
      <c r="U71" s="30" t="str">
        <f>"－"</f>
        <v>－</v>
      </c>
      <c r="V71" s="30">
        <f>13129845</f>
        <v>13129845</v>
      </c>
      <c r="W71" s="30" t="str">
        <f>"－"</f>
        <v>－</v>
      </c>
      <c r="X71" s="34">
        <f>3</f>
        <v>3</v>
      </c>
    </row>
    <row r="72" spans="1:24" x14ac:dyDescent="0.15">
      <c r="A72" s="25" t="s">
        <v>993</v>
      </c>
      <c r="B72" s="25" t="s">
        <v>248</v>
      </c>
      <c r="C72" s="25" t="s">
        <v>249</v>
      </c>
      <c r="D72" s="25" t="s">
        <v>250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1962</f>
        <v>1962</v>
      </c>
      <c r="L72" s="32" t="s">
        <v>904</v>
      </c>
      <c r="M72" s="31">
        <f>2034</f>
        <v>2034</v>
      </c>
      <c r="N72" s="32" t="s">
        <v>908</v>
      </c>
      <c r="O72" s="31">
        <f>1938</f>
        <v>1938</v>
      </c>
      <c r="P72" s="32" t="s">
        <v>904</v>
      </c>
      <c r="Q72" s="31">
        <f>2016</f>
        <v>2016</v>
      </c>
      <c r="R72" s="32" t="s">
        <v>936</v>
      </c>
      <c r="S72" s="33">
        <f>1990.16</f>
        <v>1990.16</v>
      </c>
      <c r="T72" s="30">
        <f>326</f>
        <v>326</v>
      </c>
      <c r="U72" s="30" t="str">
        <f>"－"</f>
        <v>－</v>
      </c>
      <c r="V72" s="30">
        <f>656502</f>
        <v>656502</v>
      </c>
      <c r="W72" s="30" t="str">
        <f>"－"</f>
        <v>－</v>
      </c>
      <c r="X72" s="34">
        <f>19</f>
        <v>19</v>
      </c>
    </row>
    <row r="73" spans="1:24" x14ac:dyDescent="0.15">
      <c r="A73" s="25" t="s">
        <v>993</v>
      </c>
      <c r="B73" s="25" t="s">
        <v>251</v>
      </c>
      <c r="C73" s="25" t="s">
        <v>252</v>
      </c>
      <c r="D73" s="25" t="s">
        <v>253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2046</f>
        <v>2046</v>
      </c>
      <c r="L73" s="32" t="s">
        <v>904</v>
      </c>
      <c r="M73" s="31">
        <f>2108</f>
        <v>2108</v>
      </c>
      <c r="N73" s="32" t="s">
        <v>936</v>
      </c>
      <c r="O73" s="31">
        <f>2030</f>
        <v>2030</v>
      </c>
      <c r="P73" s="32" t="s">
        <v>821</v>
      </c>
      <c r="Q73" s="31">
        <f>2108</f>
        <v>2108</v>
      </c>
      <c r="R73" s="32" t="s">
        <v>936</v>
      </c>
      <c r="S73" s="33">
        <f>2064.4</f>
        <v>2064.4</v>
      </c>
      <c r="T73" s="30">
        <f>3743850</f>
        <v>3743850</v>
      </c>
      <c r="U73" s="30">
        <f>1312770</f>
        <v>1312770</v>
      </c>
      <c r="V73" s="30">
        <f>7686414064</f>
        <v>7686414064</v>
      </c>
      <c r="W73" s="30">
        <f>2689979719</f>
        <v>2689979719</v>
      </c>
      <c r="X73" s="34">
        <f>20</f>
        <v>20</v>
      </c>
    </row>
    <row r="74" spans="1:24" x14ac:dyDescent="0.15">
      <c r="A74" s="25" t="s">
        <v>993</v>
      </c>
      <c r="B74" s="25" t="s">
        <v>254</v>
      </c>
      <c r="C74" s="25" t="s">
        <v>255</v>
      </c>
      <c r="D74" s="25" t="s">
        <v>256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2031</f>
        <v>2031</v>
      </c>
      <c r="L74" s="32" t="s">
        <v>904</v>
      </c>
      <c r="M74" s="31">
        <f>2700</f>
        <v>2700</v>
      </c>
      <c r="N74" s="32" t="s">
        <v>815</v>
      </c>
      <c r="O74" s="31">
        <f>1986</f>
        <v>1986</v>
      </c>
      <c r="P74" s="32" t="s">
        <v>810</v>
      </c>
      <c r="Q74" s="31">
        <f>2180</f>
        <v>2180</v>
      </c>
      <c r="R74" s="32" t="s">
        <v>936</v>
      </c>
      <c r="S74" s="33">
        <f>2074.4</f>
        <v>2074.4</v>
      </c>
      <c r="T74" s="30">
        <f>16483</f>
        <v>16483</v>
      </c>
      <c r="U74" s="30" t="str">
        <f>"－"</f>
        <v>－</v>
      </c>
      <c r="V74" s="30">
        <f>37521417</f>
        <v>37521417</v>
      </c>
      <c r="W74" s="30" t="str">
        <f>"－"</f>
        <v>－</v>
      </c>
      <c r="X74" s="34">
        <f>20</f>
        <v>20</v>
      </c>
    </row>
    <row r="75" spans="1:24" x14ac:dyDescent="0.15">
      <c r="A75" s="25" t="s">
        <v>993</v>
      </c>
      <c r="B75" s="25" t="s">
        <v>257</v>
      </c>
      <c r="C75" s="25" t="s">
        <v>258</v>
      </c>
      <c r="D75" s="25" t="s">
        <v>259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10</v>
      </c>
      <c r="K75" s="31">
        <f>1948</f>
        <v>1948</v>
      </c>
      <c r="L75" s="32" t="s">
        <v>904</v>
      </c>
      <c r="M75" s="31">
        <f>2003.5</f>
        <v>2003.5</v>
      </c>
      <c r="N75" s="32" t="s">
        <v>908</v>
      </c>
      <c r="O75" s="31">
        <f>1909</f>
        <v>1909</v>
      </c>
      <c r="P75" s="32" t="s">
        <v>904</v>
      </c>
      <c r="Q75" s="31">
        <f>1977</f>
        <v>1977</v>
      </c>
      <c r="R75" s="32" t="s">
        <v>936</v>
      </c>
      <c r="S75" s="33">
        <f>1962.13</f>
        <v>1962.13</v>
      </c>
      <c r="T75" s="30">
        <f>6890</f>
        <v>6890</v>
      </c>
      <c r="U75" s="30" t="str">
        <f>"－"</f>
        <v>－</v>
      </c>
      <c r="V75" s="30">
        <f>13525055</f>
        <v>13525055</v>
      </c>
      <c r="W75" s="30" t="str">
        <f>"－"</f>
        <v>－</v>
      </c>
      <c r="X75" s="34">
        <f>20</f>
        <v>20</v>
      </c>
    </row>
    <row r="76" spans="1:24" x14ac:dyDescent="0.15">
      <c r="A76" s="25" t="s">
        <v>993</v>
      </c>
      <c r="B76" s="25" t="s">
        <v>260</v>
      </c>
      <c r="C76" s="25" t="s">
        <v>261</v>
      </c>
      <c r="D76" s="25" t="s">
        <v>262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28395</f>
        <v>28395</v>
      </c>
      <c r="L76" s="32" t="s">
        <v>904</v>
      </c>
      <c r="M76" s="31">
        <f>31000</f>
        <v>31000</v>
      </c>
      <c r="N76" s="32" t="s">
        <v>908</v>
      </c>
      <c r="O76" s="31">
        <f>28395</f>
        <v>28395</v>
      </c>
      <c r="P76" s="32" t="s">
        <v>904</v>
      </c>
      <c r="Q76" s="31">
        <f>30900</f>
        <v>30900</v>
      </c>
      <c r="R76" s="32" t="s">
        <v>936</v>
      </c>
      <c r="S76" s="33">
        <f>29815</f>
        <v>29815</v>
      </c>
      <c r="T76" s="30">
        <f>30</f>
        <v>30</v>
      </c>
      <c r="U76" s="30" t="str">
        <f>"－"</f>
        <v>－</v>
      </c>
      <c r="V76" s="30">
        <f>892865</f>
        <v>892865</v>
      </c>
      <c r="W76" s="30" t="str">
        <f>"－"</f>
        <v>－</v>
      </c>
      <c r="X76" s="34">
        <f>5</f>
        <v>5</v>
      </c>
    </row>
    <row r="77" spans="1:24" x14ac:dyDescent="0.15">
      <c r="A77" s="25" t="s">
        <v>993</v>
      </c>
      <c r="B77" s="25" t="s">
        <v>263</v>
      </c>
      <c r="C77" s="25" t="s">
        <v>264</v>
      </c>
      <c r="D77" s="25" t="s">
        <v>265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23125</f>
        <v>23125</v>
      </c>
      <c r="L77" s="32" t="s">
        <v>904</v>
      </c>
      <c r="M77" s="31">
        <f>23670</f>
        <v>23670</v>
      </c>
      <c r="N77" s="32" t="s">
        <v>915</v>
      </c>
      <c r="O77" s="31">
        <f>22705</f>
        <v>22705</v>
      </c>
      <c r="P77" s="32" t="s">
        <v>821</v>
      </c>
      <c r="Q77" s="31">
        <f>23165</f>
        <v>23165</v>
      </c>
      <c r="R77" s="32" t="s">
        <v>936</v>
      </c>
      <c r="S77" s="33">
        <f>23306.5</f>
        <v>23306.5</v>
      </c>
      <c r="T77" s="30">
        <f>1330810</f>
        <v>1330810</v>
      </c>
      <c r="U77" s="30">
        <f>542025</f>
        <v>542025</v>
      </c>
      <c r="V77" s="30">
        <f>30903174644</f>
        <v>30903174644</v>
      </c>
      <c r="W77" s="30">
        <f>12627084014</f>
        <v>12627084014</v>
      </c>
      <c r="X77" s="34">
        <f>20</f>
        <v>20</v>
      </c>
    </row>
    <row r="78" spans="1:24" x14ac:dyDescent="0.15">
      <c r="A78" s="25" t="s">
        <v>993</v>
      </c>
      <c r="B78" s="25" t="s">
        <v>267</v>
      </c>
      <c r="C78" s="25" t="s">
        <v>268</v>
      </c>
      <c r="D78" s="25" t="s">
        <v>269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15995</f>
        <v>15995</v>
      </c>
      <c r="L78" s="32" t="s">
        <v>904</v>
      </c>
      <c r="M78" s="31">
        <f>16300</f>
        <v>16300</v>
      </c>
      <c r="N78" s="32" t="s">
        <v>936</v>
      </c>
      <c r="O78" s="31">
        <f>15700</f>
        <v>15700</v>
      </c>
      <c r="P78" s="32" t="s">
        <v>821</v>
      </c>
      <c r="Q78" s="31">
        <f>16290</f>
        <v>16290</v>
      </c>
      <c r="R78" s="32" t="s">
        <v>936</v>
      </c>
      <c r="S78" s="33">
        <f>15987.25</f>
        <v>15987.25</v>
      </c>
      <c r="T78" s="30">
        <f>622733</f>
        <v>622733</v>
      </c>
      <c r="U78" s="30">
        <f>302000</f>
        <v>302000</v>
      </c>
      <c r="V78" s="30">
        <f>9990318663</f>
        <v>9990318663</v>
      </c>
      <c r="W78" s="30">
        <f>4819432193</f>
        <v>4819432193</v>
      </c>
      <c r="X78" s="34">
        <f>20</f>
        <v>20</v>
      </c>
    </row>
    <row r="79" spans="1:24" x14ac:dyDescent="0.15">
      <c r="A79" s="25" t="s">
        <v>993</v>
      </c>
      <c r="B79" s="25" t="s">
        <v>270</v>
      </c>
      <c r="C79" s="25" t="s">
        <v>271</v>
      </c>
      <c r="D79" s="25" t="s">
        <v>272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10</v>
      </c>
      <c r="K79" s="31">
        <f>2033</f>
        <v>2033</v>
      </c>
      <c r="L79" s="32" t="s">
        <v>904</v>
      </c>
      <c r="M79" s="31">
        <f>2085</f>
        <v>2085</v>
      </c>
      <c r="N79" s="32" t="s">
        <v>936</v>
      </c>
      <c r="O79" s="31">
        <f>1990.5</f>
        <v>1990.5</v>
      </c>
      <c r="P79" s="32" t="s">
        <v>904</v>
      </c>
      <c r="Q79" s="31">
        <f>2085</f>
        <v>2085</v>
      </c>
      <c r="R79" s="32" t="s">
        <v>936</v>
      </c>
      <c r="S79" s="33">
        <f>2036.2</f>
        <v>2036.2</v>
      </c>
      <c r="T79" s="30">
        <f>377560</f>
        <v>377560</v>
      </c>
      <c r="U79" s="30">
        <f>30</f>
        <v>30</v>
      </c>
      <c r="V79" s="30">
        <f>771595740</f>
        <v>771595740</v>
      </c>
      <c r="W79" s="30">
        <f>61020</f>
        <v>61020</v>
      </c>
      <c r="X79" s="34">
        <f>20</f>
        <v>20</v>
      </c>
    </row>
    <row r="80" spans="1:24" x14ac:dyDescent="0.15">
      <c r="A80" s="25" t="s">
        <v>993</v>
      </c>
      <c r="B80" s="25" t="s">
        <v>273</v>
      </c>
      <c r="C80" s="25" t="s">
        <v>274</v>
      </c>
      <c r="D80" s="25" t="s">
        <v>275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40450</f>
        <v>40450</v>
      </c>
      <c r="L80" s="32" t="s">
        <v>904</v>
      </c>
      <c r="M80" s="31">
        <f>41200</f>
        <v>41200</v>
      </c>
      <c r="N80" s="32" t="s">
        <v>94</v>
      </c>
      <c r="O80" s="31">
        <f>39150</f>
        <v>39150</v>
      </c>
      <c r="P80" s="32" t="s">
        <v>80</v>
      </c>
      <c r="Q80" s="31">
        <f>40920</f>
        <v>40920</v>
      </c>
      <c r="R80" s="32" t="s">
        <v>936</v>
      </c>
      <c r="S80" s="33">
        <f>40434</f>
        <v>40434</v>
      </c>
      <c r="T80" s="30">
        <f>105785</f>
        <v>105785</v>
      </c>
      <c r="U80" s="30">
        <f>11220</f>
        <v>11220</v>
      </c>
      <c r="V80" s="30">
        <f>4253503480</f>
        <v>4253503480</v>
      </c>
      <c r="W80" s="30">
        <f>447899400</f>
        <v>447899400</v>
      </c>
      <c r="X80" s="34">
        <f>20</f>
        <v>20</v>
      </c>
    </row>
    <row r="81" spans="1:24" x14ac:dyDescent="0.15">
      <c r="A81" s="25" t="s">
        <v>993</v>
      </c>
      <c r="B81" s="25" t="s">
        <v>276</v>
      </c>
      <c r="C81" s="25" t="s">
        <v>277</v>
      </c>
      <c r="D81" s="25" t="s">
        <v>278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7977</f>
        <v>7977</v>
      </c>
      <c r="L81" s="32" t="s">
        <v>904</v>
      </c>
      <c r="M81" s="31">
        <f>8727</f>
        <v>8727</v>
      </c>
      <c r="N81" s="32" t="s">
        <v>811</v>
      </c>
      <c r="O81" s="31">
        <f>7795</f>
        <v>7795</v>
      </c>
      <c r="P81" s="32" t="s">
        <v>812</v>
      </c>
      <c r="Q81" s="31">
        <f>7795</f>
        <v>7795</v>
      </c>
      <c r="R81" s="32" t="s">
        <v>812</v>
      </c>
      <c r="S81" s="33">
        <f>7954.67</f>
        <v>7954.67</v>
      </c>
      <c r="T81" s="30">
        <f>26190</f>
        <v>26190</v>
      </c>
      <c r="U81" s="30">
        <f>26000</f>
        <v>26000</v>
      </c>
      <c r="V81" s="30">
        <f>205328510</f>
        <v>205328510</v>
      </c>
      <c r="W81" s="30">
        <f>203788000</f>
        <v>203788000</v>
      </c>
      <c r="X81" s="34">
        <f>6</f>
        <v>6</v>
      </c>
    </row>
    <row r="82" spans="1:24" x14ac:dyDescent="0.15">
      <c r="A82" s="25" t="s">
        <v>993</v>
      </c>
      <c r="B82" s="25" t="s">
        <v>279</v>
      </c>
      <c r="C82" s="25" t="s">
        <v>280</v>
      </c>
      <c r="D82" s="25" t="s">
        <v>281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14870</f>
        <v>14870</v>
      </c>
      <c r="L82" s="32" t="s">
        <v>904</v>
      </c>
      <c r="M82" s="31">
        <f>15535</f>
        <v>15535</v>
      </c>
      <c r="N82" s="32" t="s">
        <v>936</v>
      </c>
      <c r="O82" s="31">
        <f>14790</f>
        <v>14790</v>
      </c>
      <c r="P82" s="32" t="s">
        <v>915</v>
      </c>
      <c r="Q82" s="31">
        <f>15515</f>
        <v>15515</v>
      </c>
      <c r="R82" s="32" t="s">
        <v>936</v>
      </c>
      <c r="S82" s="33">
        <f>15128.25</f>
        <v>15128.25</v>
      </c>
      <c r="T82" s="30">
        <f>350</f>
        <v>350</v>
      </c>
      <c r="U82" s="30" t="str">
        <f>"－"</f>
        <v>－</v>
      </c>
      <c r="V82" s="30">
        <f>5312530</f>
        <v>5312530</v>
      </c>
      <c r="W82" s="30" t="str">
        <f>"－"</f>
        <v>－</v>
      </c>
      <c r="X82" s="34">
        <f>20</f>
        <v>20</v>
      </c>
    </row>
    <row r="83" spans="1:24" x14ac:dyDescent="0.15">
      <c r="A83" s="25" t="s">
        <v>993</v>
      </c>
      <c r="B83" s="25" t="s">
        <v>282</v>
      </c>
      <c r="C83" s="25" t="s">
        <v>283</v>
      </c>
      <c r="D83" s="25" t="s">
        <v>284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14885</f>
        <v>14885</v>
      </c>
      <c r="L83" s="32" t="s">
        <v>904</v>
      </c>
      <c r="M83" s="31">
        <f>15435</f>
        <v>15435</v>
      </c>
      <c r="N83" s="32" t="s">
        <v>94</v>
      </c>
      <c r="O83" s="31">
        <f>14615</f>
        <v>14615</v>
      </c>
      <c r="P83" s="32" t="s">
        <v>70</v>
      </c>
      <c r="Q83" s="31">
        <f>15365</f>
        <v>15365</v>
      </c>
      <c r="R83" s="32" t="s">
        <v>936</v>
      </c>
      <c r="S83" s="33">
        <f>15029.75</f>
        <v>15029.75</v>
      </c>
      <c r="T83" s="30">
        <f>568</f>
        <v>568</v>
      </c>
      <c r="U83" s="30" t="str">
        <f>"－"</f>
        <v>－</v>
      </c>
      <c r="V83" s="30">
        <f>8496405</f>
        <v>8496405</v>
      </c>
      <c r="W83" s="30" t="str">
        <f>"－"</f>
        <v>－</v>
      </c>
      <c r="X83" s="34">
        <f>20</f>
        <v>20</v>
      </c>
    </row>
    <row r="84" spans="1:24" x14ac:dyDescent="0.15">
      <c r="A84" s="25" t="s">
        <v>993</v>
      </c>
      <c r="B84" s="25" t="s">
        <v>285</v>
      </c>
      <c r="C84" s="25" t="s">
        <v>286</v>
      </c>
      <c r="D84" s="25" t="s">
        <v>287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20040</f>
        <v>20040</v>
      </c>
      <c r="L84" s="32" t="s">
        <v>904</v>
      </c>
      <c r="M84" s="31">
        <f>20480</f>
        <v>20480</v>
      </c>
      <c r="N84" s="32" t="s">
        <v>812</v>
      </c>
      <c r="O84" s="31">
        <f>19685</f>
        <v>19685</v>
      </c>
      <c r="P84" s="32" t="s">
        <v>80</v>
      </c>
      <c r="Q84" s="31">
        <f>20245</f>
        <v>20245</v>
      </c>
      <c r="R84" s="32" t="s">
        <v>936</v>
      </c>
      <c r="S84" s="33">
        <f>20150</f>
        <v>20150</v>
      </c>
      <c r="T84" s="30">
        <f>4331</f>
        <v>4331</v>
      </c>
      <c r="U84" s="30" t="str">
        <f>"－"</f>
        <v>－</v>
      </c>
      <c r="V84" s="30">
        <f>86648615</f>
        <v>86648615</v>
      </c>
      <c r="W84" s="30" t="str">
        <f>"－"</f>
        <v>－</v>
      </c>
      <c r="X84" s="34">
        <f>20</f>
        <v>20</v>
      </c>
    </row>
    <row r="85" spans="1:24" x14ac:dyDescent="0.15">
      <c r="A85" s="25" t="s">
        <v>993</v>
      </c>
      <c r="B85" s="25" t="s">
        <v>288</v>
      </c>
      <c r="C85" s="25" t="s">
        <v>289</v>
      </c>
      <c r="D85" s="25" t="s">
        <v>290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11690</f>
        <v>11690</v>
      </c>
      <c r="L85" s="32" t="s">
        <v>904</v>
      </c>
      <c r="M85" s="31">
        <f>11980</f>
        <v>11980</v>
      </c>
      <c r="N85" s="32" t="s">
        <v>816</v>
      </c>
      <c r="O85" s="31">
        <f>11230</f>
        <v>11230</v>
      </c>
      <c r="P85" s="32" t="s">
        <v>815</v>
      </c>
      <c r="Q85" s="31">
        <f>11470</f>
        <v>11470</v>
      </c>
      <c r="R85" s="32" t="s">
        <v>936</v>
      </c>
      <c r="S85" s="33">
        <f>11478.25</f>
        <v>11478.25</v>
      </c>
      <c r="T85" s="30">
        <f>10730</f>
        <v>10730</v>
      </c>
      <c r="U85" s="30">
        <f>10</f>
        <v>10</v>
      </c>
      <c r="V85" s="30">
        <f>124107300</f>
        <v>124107300</v>
      </c>
      <c r="W85" s="30">
        <f>116200</f>
        <v>116200</v>
      </c>
      <c r="X85" s="34">
        <f>20</f>
        <v>20</v>
      </c>
    </row>
    <row r="86" spans="1:24" x14ac:dyDescent="0.15">
      <c r="A86" s="25" t="s">
        <v>993</v>
      </c>
      <c r="B86" s="25" t="s">
        <v>291</v>
      </c>
      <c r="C86" s="25" t="s">
        <v>292</v>
      </c>
      <c r="D86" s="25" t="s">
        <v>293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2102</f>
        <v>2102</v>
      </c>
      <c r="L86" s="32" t="s">
        <v>904</v>
      </c>
      <c r="M86" s="31">
        <f>2182</f>
        <v>2182</v>
      </c>
      <c r="N86" s="32" t="s">
        <v>936</v>
      </c>
      <c r="O86" s="31">
        <f>2095</f>
        <v>2095</v>
      </c>
      <c r="P86" s="32" t="s">
        <v>821</v>
      </c>
      <c r="Q86" s="31">
        <f>2182</f>
        <v>2182</v>
      </c>
      <c r="R86" s="32" t="s">
        <v>936</v>
      </c>
      <c r="S86" s="33">
        <f>2128.4</f>
        <v>2128.4</v>
      </c>
      <c r="T86" s="30">
        <f>143189</f>
        <v>143189</v>
      </c>
      <c r="U86" s="30">
        <f>63459</f>
        <v>63459</v>
      </c>
      <c r="V86" s="30">
        <f>305694651</f>
        <v>305694651</v>
      </c>
      <c r="W86" s="30">
        <f>135848345</f>
        <v>135848345</v>
      </c>
      <c r="X86" s="34">
        <f>20</f>
        <v>20</v>
      </c>
    </row>
    <row r="87" spans="1:24" x14ac:dyDescent="0.15">
      <c r="A87" s="25" t="s">
        <v>993</v>
      </c>
      <c r="B87" s="25" t="s">
        <v>294</v>
      </c>
      <c r="C87" s="25" t="s">
        <v>295</v>
      </c>
      <c r="D87" s="25" t="s">
        <v>296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1973</f>
        <v>1973</v>
      </c>
      <c r="L87" s="32" t="s">
        <v>904</v>
      </c>
      <c r="M87" s="31">
        <f>2080</f>
        <v>2080</v>
      </c>
      <c r="N87" s="32" t="s">
        <v>936</v>
      </c>
      <c r="O87" s="31">
        <f>1967</f>
        <v>1967</v>
      </c>
      <c r="P87" s="32" t="s">
        <v>904</v>
      </c>
      <c r="Q87" s="31">
        <f>2073</f>
        <v>2073</v>
      </c>
      <c r="R87" s="32" t="s">
        <v>936</v>
      </c>
      <c r="S87" s="33">
        <f>2005.2</f>
        <v>2005.2</v>
      </c>
      <c r="T87" s="30">
        <f>509242</f>
        <v>509242</v>
      </c>
      <c r="U87" s="30">
        <f>370010</f>
        <v>370010</v>
      </c>
      <c r="V87" s="30">
        <f>1014186006</f>
        <v>1014186006</v>
      </c>
      <c r="W87" s="30">
        <f>735641660</f>
        <v>735641660</v>
      </c>
      <c r="X87" s="34">
        <f>20</f>
        <v>20</v>
      </c>
    </row>
    <row r="88" spans="1:24" x14ac:dyDescent="0.15">
      <c r="A88" s="25" t="s">
        <v>993</v>
      </c>
      <c r="B88" s="25" t="s">
        <v>297</v>
      </c>
      <c r="C88" s="25" t="s">
        <v>298</v>
      </c>
      <c r="D88" s="25" t="s">
        <v>299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14485</f>
        <v>14485</v>
      </c>
      <c r="L88" s="32" t="s">
        <v>904</v>
      </c>
      <c r="M88" s="31">
        <f>14945</f>
        <v>14945</v>
      </c>
      <c r="N88" s="32" t="s">
        <v>908</v>
      </c>
      <c r="O88" s="31">
        <f>14155</f>
        <v>14155</v>
      </c>
      <c r="P88" s="32" t="s">
        <v>70</v>
      </c>
      <c r="Q88" s="31">
        <f>14785</f>
        <v>14785</v>
      </c>
      <c r="R88" s="32" t="s">
        <v>936</v>
      </c>
      <c r="S88" s="33">
        <f>14598</f>
        <v>14598</v>
      </c>
      <c r="T88" s="30">
        <f>9503</f>
        <v>9503</v>
      </c>
      <c r="U88" s="30" t="str">
        <f>"－"</f>
        <v>－</v>
      </c>
      <c r="V88" s="30">
        <f>138489755</f>
        <v>138489755</v>
      </c>
      <c r="W88" s="30" t="str">
        <f>"－"</f>
        <v>－</v>
      </c>
      <c r="X88" s="34">
        <f>20</f>
        <v>20</v>
      </c>
    </row>
    <row r="89" spans="1:24" x14ac:dyDescent="0.15">
      <c r="A89" s="25" t="s">
        <v>993</v>
      </c>
      <c r="B89" s="25" t="s">
        <v>300</v>
      </c>
      <c r="C89" s="25" t="s">
        <v>301</v>
      </c>
      <c r="D89" s="25" t="s">
        <v>302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9086</f>
        <v>9086</v>
      </c>
      <c r="L89" s="32" t="s">
        <v>904</v>
      </c>
      <c r="M89" s="31">
        <f>9198</f>
        <v>9198</v>
      </c>
      <c r="N89" s="32" t="s">
        <v>904</v>
      </c>
      <c r="O89" s="31">
        <f>8607</f>
        <v>8607</v>
      </c>
      <c r="P89" s="32" t="s">
        <v>936</v>
      </c>
      <c r="Q89" s="31">
        <f>8888</f>
        <v>8888</v>
      </c>
      <c r="R89" s="32" t="s">
        <v>936</v>
      </c>
      <c r="S89" s="33">
        <f>9016.15</f>
        <v>9016.15</v>
      </c>
      <c r="T89" s="30">
        <f>1828</f>
        <v>1828</v>
      </c>
      <c r="U89" s="30">
        <f>3</f>
        <v>3</v>
      </c>
      <c r="V89" s="30">
        <f>16412630</f>
        <v>16412630</v>
      </c>
      <c r="W89" s="30">
        <f>26664</f>
        <v>26664</v>
      </c>
      <c r="X89" s="34">
        <f>20</f>
        <v>20</v>
      </c>
    </row>
    <row r="90" spans="1:24" x14ac:dyDescent="0.15">
      <c r="A90" s="25" t="s">
        <v>993</v>
      </c>
      <c r="B90" s="25" t="s">
        <v>303</v>
      </c>
      <c r="C90" s="25" t="s">
        <v>304</v>
      </c>
      <c r="D90" s="25" t="s">
        <v>305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7500</f>
        <v>7500</v>
      </c>
      <c r="L90" s="32" t="s">
        <v>904</v>
      </c>
      <c r="M90" s="31">
        <f>7535</f>
        <v>7535</v>
      </c>
      <c r="N90" s="32" t="s">
        <v>810</v>
      </c>
      <c r="O90" s="31">
        <f>7136</f>
        <v>7136</v>
      </c>
      <c r="P90" s="32" t="s">
        <v>66</v>
      </c>
      <c r="Q90" s="31">
        <f>7169</f>
        <v>7169</v>
      </c>
      <c r="R90" s="32" t="s">
        <v>936</v>
      </c>
      <c r="S90" s="33">
        <f>7259.8</f>
        <v>7259.8</v>
      </c>
      <c r="T90" s="30">
        <f>2114757</f>
        <v>2114757</v>
      </c>
      <c r="U90" s="30">
        <f>79348</f>
        <v>79348</v>
      </c>
      <c r="V90" s="30">
        <f>15354725696</f>
        <v>15354725696</v>
      </c>
      <c r="W90" s="30">
        <f>572604043</f>
        <v>572604043</v>
      </c>
      <c r="X90" s="34">
        <f>20</f>
        <v>20</v>
      </c>
    </row>
    <row r="91" spans="1:24" x14ac:dyDescent="0.15">
      <c r="A91" s="25" t="s">
        <v>993</v>
      </c>
      <c r="B91" s="25" t="s">
        <v>306</v>
      </c>
      <c r="C91" s="25" t="s">
        <v>307</v>
      </c>
      <c r="D91" s="25" t="s">
        <v>308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3665</f>
        <v>3665</v>
      </c>
      <c r="L91" s="32" t="s">
        <v>904</v>
      </c>
      <c r="M91" s="31">
        <f>3680</f>
        <v>3680</v>
      </c>
      <c r="N91" s="32" t="s">
        <v>904</v>
      </c>
      <c r="O91" s="31">
        <f>3485</f>
        <v>3485</v>
      </c>
      <c r="P91" s="32" t="s">
        <v>56</v>
      </c>
      <c r="Q91" s="31">
        <f>3635</f>
        <v>3635</v>
      </c>
      <c r="R91" s="32" t="s">
        <v>936</v>
      </c>
      <c r="S91" s="33">
        <f>3600.5</f>
        <v>3600.5</v>
      </c>
      <c r="T91" s="30">
        <f>554492</f>
        <v>554492</v>
      </c>
      <c r="U91" s="30">
        <f>5</f>
        <v>5</v>
      </c>
      <c r="V91" s="30">
        <f>1996583775</f>
        <v>1996583775</v>
      </c>
      <c r="W91" s="30">
        <f>18275</f>
        <v>18275</v>
      </c>
      <c r="X91" s="34">
        <f>20</f>
        <v>20</v>
      </c>
    </row>
    <row r="92" spans="1:24" x14ac:dyDescent="0.15">
      <c r="A92" s="25" t="s">
        <v>993</v>
      </c>
      <c r="B92" s="25" t="s">
        <v>309</v>
      </c>
      <c r="C92" s="25" t="s">
        <v>310</v>
      </c>
      <c r="D92" s="25" t="s">
        <v>311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8223</f>
        <v>8223</v>
      </c>
      <c r="L92" s="32" t="s">
        <v>904</v>
      </c>
      <c r="M92" s="31">
        <f>8229</f>
        <v>8229</v>
      </c>
      <c r="N92" s="32" t="s">
        <v>904</v>
      </c>
      <c r="O92" s="31">
        <f>7569</f>
        <v>7569</v>
      </c>
      <c r="P92" s="32" t="s">
        <v>812</v>
      </c>
      <c r="Q92" s="31">
        <f>8070</f>
        <v>8070</v>
      </c>
      <c r="R92" s="32" t="s">
        <v>936</v>
      </c>
      <c r="S92" s="33">
        <f>7828.6</f>
        <v>7828.6</v>
      </c>
      <c r="T92" s="30">
        <f>213411</f>
        <v>213411</v>
      </c>
      <c r="U92" s="30">
        <f>6</f>
        <v>6</v>
      </c>
      <c r="V92" s="30">
        <f>1672460540</f>
        <v>1672460540</v>
      </c>
      <c r="W92" s="30">
        <f>45660</f>
        <v>45660</v>
      </c>
      <c r="X92" s="34">
        <f>20</f>
        <v>20</v>
      </c>
    </row>
    <row r="93" spans="1:24" x14ac:dyDescent="0.15">
      <c r="A93" s="25" t="s">
        <v>993</v>
      </c>
      <c r="B93" s="25" t="s">
        <v>312</v>
      </c>
      <c r="C93" s="25" t="s">
        <v>313</v>
      </c>
      <c r="D93" s="25" t="s">
        <v>314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77000</f>
        <v>77000</v>
      </c>
      <c r="L93" s="32" t="s">
        <v>904</v>
      </c>
      <c r="M93" s="31">
        <f>85700</f>
        <v>85700</v>
      </c>
      <c r="N93" s="32" t="s">
        <v>821</v>
      </c>
      <c r="O93" s="31">
        <f>74800</f>
        <v>74800</v>
      </c>
      <c r="P93" s="32" t="s">
        <v>816</v>
      </c>
      <c r="Q93" s="31">
        <f>80710</f>
        <v>80710</v>
      </c>
      <c r="R93" s="32" t="s">
        <v>936</v>
      </c>
      <c r="S93" s="33">
        <f>78438.5</f>
        <v>78438.5</v>
      </c>
      <c r="T93" s="30">
        <f>6627</f>
        <v>6627</v>
      </c>
      <c r="U93" s="30" t="str">
        <f>"－"</f>
        <v>－</v>
      </c>
      <c r="V93" s="30">
        <f>531265590</f>
        <v>531265590</v>
      </c>
      <c r="W93" s="30" t="str">
        <f>"－"</f>
        <v>－</v>
      </c>
      <c r="X93" s="34">
        <f>20</f>
        <v>20</v>
      </c>
    </row>
    <row r="94" spans="1:24" x14ac:dyDescent="0.15">
      <c r="A94" s="25" t="s">
        <v>993</v>
      </c>
      <c r="B94" s="25" t="s">
        <v>315</v>
      </c>
      <c r="C94" s="25" t="s">
        <v>940</v>
      </c>
      <c r="D94" s="25" t="s">
        <v>941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15885</f>
        <v>15885</v>
      </c>
      <c r="L94" s="32" t="s">
        <v>904</v>
      </c>
      <c r="M94" s="31">
        <f>17590</f>
        <v>17590</v>
      </c>
      <c r="N94" s="32" t="s">
        <v>936</v>
      </c>
      <c r="O94" s="31">
        <f>15550</f>
        <v>15550</v>
      </c>
      <c r="P94" s="32" t="s">
        <v>904</v>
      </c>
      <c r="Q94" s="31">
        <f>17405</f>
        <v>17405</v>
      </c>
      <c r="R94" s="32" t="s">
        <v>936</v>
      </c>
      <c r="S94" s="33">
        <f>16697</f>
        <v>16697</v>
      </c>
      <c r="T94" s="30">
        <f>1935269</f>
        <v>1935269</v>
      </c>
      <c r="U94" s="30">
        <f>146857</f>
        <v>146857</v>
      </c>
      <c r="V94" s="30">
        <f>32494013722</f>
        <v>32494013722</v>
      </c>
      <c r="W94" s="30">
        <f>2537072027</f>
        <v>2537072027</v>
      </c>
      <c r="X94" s="34">
        <f>20</f>
        <v>20</v>
      </c>
    </row>
    <row r="95" spans="1:24" x14ac:dyDescent="0.15">
      <c r="A95" s="25" t="s">
        <v>993</v>
      </c>
      <c r="B95" s="25" t="s">
        <v>318</v>
      </c>
      <c r="C95" s="25" t="s">
        <v>942</v>
      </c>
      <c r="D95" s="25" t="s">
        <v>943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41170</f>
        <v>41170</v>
      </c>
      <c r="L95" s="32" t="s">
        <v>904</v>
      </c>
      <c r="M95" s="31">
        <f>43520</f>
        <v>43520</v>
      </c>
      <c r="N95" s="32" t="s">
        <v>87</v>
      </c>
      <c r="O95" s="31">
        <f>40440</f>
        <v>40440</v>
      </c>
      <c r="P95" s="32" t="s">
        <v>904</v>
      </c>
      <c r="Q95" s="31">
        <f>42670</f>
        <v>42670</v>
      </c>
      <c r="R95" s="32" t="s">
        <v>936</v>
      </c>
      <c r="S95" s="33">
        <f>42231</f>
        <v>42231</v>
      </c>
      <c r="T95" s="30">
        <f>169289</f>
        <v>169289</v>
      </c>
      <c r="U95" s="30">
        <f>63800</f>
        <v>63800</v>
      </c>
      <c r="V95" s="30">
        <f>7221070920</f>
        <v>7221070920</v>
      </c>
      <c r="W95" s="30">
        <f>2753417460</f>
        <v>2753417460</v>
      </c>
      <c r="X95" s="34">
        <f>20</f>
        <v>20</v>
      </c>
    </row>
    <row r="96" spans="1:24" x14ac:dyDescent="0.15">
      <c r="A96" s="25" t="s">
        <v>993</v>
      </c>
      <c r="B96" s="25" t="s">
        <v>321</v>
      </c>
      <c r="C96" s="25" t="s">
        <v>322</v>
      </c>
      <c r="D96" s="25" t="s">
        <v>323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5605</f>
        <v>5605</v>
      </c>
      <c r="L96" s="32" t="s">
        <v>904</v>
      </c>
      <c r="M96" s="31">
        <f>6010</f>
        <v>6010</v>
      </c>
      <c r="N96" s="32" t="s">
        <v>936</v>
      </c>
      <c r="O96" s="31">
        <f>5503</f>
        <v>5503</v>
      </c>
      <c r="P96" s="32" t="s">
        <v>904</v>
      </c>
      <c r="Q96" s="31">
        <f>5947</f>
        <v>5947</v>
      </c>
      <c r="R96" s="32" t="s">
        <v>936</v>
      </c>
      <c r="S96" s="33">
        <f>5791.6</f>
        <v>5791.6</v>
      </c>
      <c r="T96" s="30">
        <f>1547370</f>
        <v>1547370</v>
      </c>
      <c r="U96" s="30">
        <f>369420</f>
        <v>369420</v>
      </c>
      <c r="V96" s="30">
        <f>9063436328</f>
        <v>9063436328</v>
      </c>
      <c r="W96" s="30">
        <f>2203959148</f>
        <v>2203959148</v>
      </c>
      <c r="X96" s="34">
        <f>20</f>
        <v>20</v>
      </c>
    </row>
    <row r="97" spans="1:24" x14ac:dyDescent="0.15">
      <c r="A97" s="25" t="s">
        <v>993</v>
      </c>
      <c r="B97" s="25" t="s">
        <v>324</v>
      </c>
      <c r="C97" s="25" t="s">
        <v>325</v>
      </c>
      <c r="D97" s="25" t="s">
        <v>326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3588</f>
        <v>3588</v>
      </c>
      <c r="L97" s="32" t="s">
        <v>904</v>
      </c>
      <c r="M97" s="31">
        <f>3783</f>
        <v>3783</v>
      </c>
      <c r="N97" s="32" t="s">
        <v>936</v>
      </c>
      <c r="O97" s="31">
        <f>3519</f>
        <v>3519</v>
      </c>
      <c r="P97" s="32" t="s">
        <v>904</v>
      </c>
      <c r="Q97" s="31">
        <f>3750</f>
        <v>3750</v>
      </c>
      <c r="R97" s="32" t="s">
        <v>936</v>
      </c>
      <c r="S97" s="33">
        <f>3665.75</f>
        <v>3665.75</v>
      </c>
      <c r="T97" s="30">
        <f>64360</f>
        <v>64360</v>
      </c>
      <c r="U97" s="30">
        <f>90</f>
        <v>90</v>
      </c>
      <c r="V97" s="30">
        <f>237298150</f>
        <v>237298150</v>
      </c>
      <c r="W97" s="30">
        <f>326670</f>
        <v>326670</v>
      </c>
      <c r="X97" s="34">
        <f>20</f>
        <v>20</v>
      </c>
    </row>
    <row r="98" spans="1:24" x14ac:dyDescent="0.15">
      <c r="A98" s="25" t="s">
        <v>993</v>
      </c>
      <c r="B98" s="25" t="s">
        <v>327</v>
      </c>
      <c r="C98" s="25" t="s">
        <v>328</v>
      </c>
      <c r="D98" s="25" t="s">
        <v>329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4120</f>
        <v>4120</v>
      </c>
      <c r="L98" s="32" t="s">
        <v>904</v>
      </c>
      <c r="M98" s="31">
        <f>4397</f>
        <v>4397</v>
      </c>
      <c r="N98" s="32" t="s">
        <v>94</v>
      </c>
      <c r="O98" s="31">
        <f>4020</f>
        <v>4020</v>
      </c>
      <c r="P98" s="32" t="s">
        <v>904</v>
      </c>
      <c r="Q98" s="31">
        <f>4330</f>
        <v>4330</v>
      </c>
      <c r="R98" s="32" t="s">
        <v>936</v>
      </c>
      <c r="S98" s="33">
        <f>4200.15</f>
        <v>4200.1499999999996</v>
      </c>
      <c r="T98" s="30">
        <f>5150</f>
        <v>5150</v>
      </c>
      <c r="U98" s="30" t="str">
        <f>"－"</f>
        <v>－</v>
      </c>
      <c r="V98" s="30">
        <f>21714010</f>
        <v>21714010</v>
      </c>
      <c r="W98" s="30" t="str">
        <f>"－"</f>
        <v>－</v>
      </c>
      <c r="X98" s="34">
        <f>20</f>
        <v>20</v>
      </c>
    </row>
    <row r="99" spans="1:24" x14ac:dyDescent="0.15">
      <c r="A99" s="25" t="s">
        <v>993</v>
      </c>
      <c r="B99" s="25" t="s">
        <v>330</v>
      </c>
      <c r="C99" s="25" t="s">
        <v>331</v>
      </c>
      <c r="D99" s="25" t="s">
        <v>332</v>
      </c>
      <c r="E99" s="26" t="s">
        <v>45</v>
      </c>
      <c r="F99" s="27" t="s">
        <v>45</v>
      </c>
      <c r="G99" s="28" t="s">
        <v>45</v>
      </c>
      <c r="H99" s="29" t="s">
        <v>333</v>
      </c>
      <c r="I99" s="29" t="s">
        <v>46</v>
      </c>
      <c r="J99" s="30">
        <v>1</v>
      </c>
      <c r="K99" s="31">
        <f>2441</f>
        <v>2441</v>
      </c>
      <c r="L99" s="32" t="s">
        <v>904</v>
      </c>
      <c r="M99" s="31">
        <f>2499</f>
        <v>2499</v>
      </c>
      <c r="N99" s="32" t="s">
        <v>904</v>
      </c>
      <c r="O99" s="31">
        <f>1916</f>
        <v>1916</v>
      </c>
      <c r="P99" s="32" t="s">
        <v>936</v>
      </c>
      <c r="Q99" s="31">
        <f>1920</f>
        <v>1920</v>
      </c>
      <c r="R99" s="32" t="s">
        <v>936</v>
      </c>
      <c r="S99" s="33">
        <f>2272.4</f>
        <v>2272.4</v>
      </c>
      <c r="T99" s="30">
        <f>32249493</f>
        <v>32249493</v>
      </c>
      <c r="U99" s="30">
        <f>78053</f>
        <v>78053</v>
      </c>
      <c r="V99" s="30">
        <f>72767308133</f>
        <v>72767308133</v>
      </c>
      <c r="W99" s="30">
        <f>183303464</f>
        <v>183303464</v>
      </c>
      <c r="X99" s="34">
        <f>20</f>
        <v>20</v>
      </c>
    </row>
    <row r="100" spans="1:24" x14ac:dyDescent="0.15">
      <c r="A100" s="25" t="s">
        <v>993</v>
      </c>
      <c r="B100" s="25" t="s">
        <v>334</v>
      </c>
      <c r="C100" s="25" t="s">
        <v>335</v>
      </c>
      <c r="D100" s="25" t="s">
        <v>336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3062</f>
        <v>3062</v>
      </c>
      <c r="L100" s="32" t="s">
        <v>904</v>
      </c>
      <c r="M100" s="31">
        <f>3210</f>
        <v>3210</v>
      </c>
      <c r="N100" s="32" t="s">
        <v>66</v>
      </c>
      <c r="O100" s="31">
        <f>3000</f>
        <v>3000</v>
      </c>
      <c r="P100" s="32" t="s">
        <v>904</v>
      </c>
      <c r="Q100" s="31">
        <f>3178</f>
        <v>3178</v>
      </c>
      <c r="R100" s="32" t="s">
        <v>936</v>
      </c>
      <c r="S100" s="33">
        <f>3116.7</f>
        <v>3116.7</v>
      </c>
      <c r="T100" s="30">
        <f>61650</f>
        <v>61650</v>
      </c>
      <c r="U100" s="30" t="str">
        <f>"－"</f>
        <v>－</v>
      </c>
      <c r="V100" s="30">
        <f>192541670</f>
        <v>192541670</v>
      </c>
      <c r="W100" s="30" t="str">
        <f>"－"</f>
        <v>－</v>
      </c>
      <c r="X100" s="34">
        <f>20</f>
        <v>20</v>
      </c>
    </row>
    <row r="101" spans="1:24" x14ac:dyDescent="0.15">
      <c r="A101" s="25" t="s">
        <v>993</v>
      </c>
      <c r="B101" s="25" t="s">
        <v>337</v>
      </c>
      <c r="C101" s="25" t="s">
        <v>338</v>
      </c>
      <c r="D101" s="25" t="s">
        <v>339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1721</f>
        <v>1721</v>
      </c>
      <c r="L101" s="32" t="s">
        <v>904</v>
      </c>
      <c r="M101" s="31">
        <f>1824</f>
        <v>1824</v>
      </c>
      <c r="N101" s="32" t="s">
        <v>936</v>
      </c>
      <c r="O101" s="31">
        <f>1655</f>
        <v>1655</v>
      </c>
      <c r="P101" s="32" t="s">
        <v>80</v>
      </c>
      <c r="Q101" s="31">
        <f>1820</f>
        <v>1820</v>
      </c>
      <c r="R101" s="32" t="s">
        <v>936</v>
      </c>
      <c r="S101" s="33">
        <f>1739.38</f>
        <v>1739.38</v>
      </c>
      <c r="T101" s="30">
        <f>79840</f>
        <v>79840</v>
      </c>
      <c r="U101" s="30" t="str">
        <f>"－"</f>
        <v>－</v>
      </c>
      <c r="V101" s="30">
        <f>139945910</f>
        <v>139945910</v>
      </c>
      <c r="W101" s="30" t="str">
        <f>"－"</f>
        <v>－</v>
      </c>
      <c r="X101" s="34">
        <f>20</f>
        <v>20</v>
      </c>
    </row>
    <row r="102" spans="1:24" x14ac:dyDescent="0.15">
      <c r="A102" s="25" t="s">
        <v>993</v>
      </c>
      <c r="B102" s="25" t="s">
        <v>340</v>
      </c>
      <c r="C102" s="25" t="s">
        <v>341</v>
      </c>
      <c r="D102" s="25" t="s">
        <v>342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51310</f>
        <v>51310</v>
      </c>
      <c r="L102" s="32" t="s">
        <v>904</v>
      </c>
      <c r="M102" s="31">
        <f>54970</f>
        <v>54970</v>
      </c>
      <c r="N102" s="32" t="s">
        <v>936</v>
      </c>
      <c r="O102" s="31">
        <f>50320</f>
        <v>50320</v>
      </c>
      <c r="P102" s="32" t="s">
        <v>904</v>
      </c>
      <c r="Q102" s="31">
        <f>54400</f>
        <v>54400</v>
      </c>
      <c r="R102" s="32" t="s">
        <v>936</v>
      </c>
      <c r="S102" s="33">
        <f>52981.5</f>
        <v>52981.5</v>
      </c>
      <c r="T102" s="30">
        <f>138672</f>
        <v>138672</v>
      </c>
      <c r="U102" s="30">
        <f>8</f>
        <v>8</v>
      </c>
      <c r="V102" s="30">
        <f>7379415770</f>
        <v>7379415770</v>
      </c>
      <c r="W102" s="30">
        <f>429000</f>
        <v>429000</v>
      </c>
      <c r="X102" s="34">
        <f>20</f>
        <v>20</v>
      </c>
    </row>
    <row r="103" spans="1:24" x14ac:dyDescent="0.15">
      <c r="A103" s="25" t="s">
        <v>993</v>
      </c>
      <c r="B103" s="25" t="s">
        <v>343</v>
      </c>
      <c r="C103" s="25" t="s">
        <v>344</v>
      </c>
      <c r="D103" s="25" t="s">
        <v>345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3355</f>
        <v>3355</v>
      </c>
      <c r="L103" s="32" t="s">
        <v>904</v>
      </c>
      <c r="M103" s="31">
        <f>3380</f>
        <v>3380</v>
      </c>
      <c r="N103" s="32" t="s">
        <v>811</v>
      </c>
      <c r="O103" s="31">
        <f>3225</f>
        <v>3225</v>
      </c>
      <c r="P103" s="32" t="s">
        <v>812</v>
      </c>
      <c r="Q103" s="31">
        <f>3295</f>
        <v>3295</v>
      </c>
      <c r="R103" s="32" t="s">
        <v>936</v>
      </c>
      <c r="S103" s="33">
        <f>3309.75</f>
        <v>3309.75</v>
      </c>
      <c r="T103" s="30">
        <f>4603</f>
        <v>4603</v>
      </c>
      <c r="U103" s="30" t="str">
        <f>"－"</f>
        <v>－</v>
      </c>
      <c r="V103" s="30">
        <f>15178965</f>
        <v>15178965</v>
      </c>
      <c r="W103" s="30" t="str">
        <f>"－"</f>
        <v>－</v>
      </c>
      <c r="X103" s="34">
        <f>20</f>
        <v>20</v>
      </c>
    </row>
    <row r="104" spans="1:24" x14ac:dyDescent="0.15">
      <c r="A104" s="25" t="s">
        <v>993</v>
      </c>
      <c r="B104" s="25" t="s">
        <v>346</v>
      </c>
      <c r="C104" s="25" t="s">
        <v>347</v>
      </c>
      <c r="D104" s="25" t="s">
        <v>348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4340</f>
        <v>4340</v>
      </c>
      <c r="L104" s="32" t="s">
        <v>904</v>
      </c>
      <c r="M104" s="31">
        <f>4485</f>
        <v>4485</v>
      </c>
      <c r="N104" s="32" t="s">
        <v>936</v>
      </c>
      <c r="O104" s="31">
        <f>4215</f>
        <v>4215</v>
      </c>
      <c r="P104" s="32" t="s">
        <v>915</v>
      </c>
      <c r="Q104" s="31">
        <f>4435</f>
        <v>4435</v>
      </c>
      <c r="R104" s="32" t="s">
        <v>936</v>
      </c>
      <c r="S104" s="33">
        <f>4379.25</f>
        <v>4379.25</v>
      </c>
      <c r="T104" s="30">
        <f>1701</f>
        <v>1701</v>
      </c>
      <c r="U104" s="30" t="str">
        <f>"－"</f>
        <v>－</v>
      </c>
      <c r="V104" s="30">
        <f>7443970</f>
        <v>7443970</v>
      </c>
      <c r="W104" s="30" t="str">
        <f>"－"</f>
        <v>－</v>
      </c>
      <c r="X104" s="34">
        <f>20</f>
        <v>20</v>
      </c>
    </row>
    <row r="105" spans="1:24" x14ac:dyDescent="0.15">
      <c r="A105" s="25" t="s">
        <v>993</v>
      </c>
      <c r="B105" s="25" t="s">
        <v>349</v>
      </c>
      <c r="C105" s="25" t="s">
        <v>350</v>
      </c>
      <c r="D105" s="25" t="s">
        <v>351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2170</f>
        <v>2170</v>
      </c>
      <c r="L105" s="32" t="s">
        <v>904</v>
      </c>
      <c r="M105" s="31">
        <f>2475</f>
        <v>2475</v>
      </c>
      <c r="N105" s="32" t="s">
        <v>936</v>
      </c>
      <c r="O105" s="31">
        <f>2114</f>
        <v>2114</v>
      </c>
      <c r="P105" s="32" t="s">
        <v>904</v>
      </c>
      <c r="Q105" s="31">
        <f>2442</f>
        <v>2442</v>
      </c>
      <c r="R105" s="32" t="s">
        <v>936</v>
      </c>
      <c r="S105" s="33">
        <f>2305</f>
        <v>2305</v>
      </c>
      <c r="T105" s="30">
        <f>1045832</f>
        <v>1045832</v>
      </c>
      <c r="U105" s="30">
        <f>4</f>
        <v>4</v>
      </c>
      <c r="V105" s="30">
        <f>2427908241</f>
        <v>2427908241</v>
      </c>
      <c r="W105" s="30">
        <f>9224</f>
        <v>9224</v>
      </c>
      <c r="X105" s="34">
        <f>20</f>
        <v>20</v>
      </c>
    </row>
    <row r="106" spans="1:24" x14ac:dyDescent="0.15">
      <c r="A106" s="25" t="s">
        <v>993</v>
      </c>
      <c r="B106" s="25" t="s">
        <v>352</v>
      </c>
      <c r="C106" s="25" t="s">
        <v>353</v>
      </c>
      <c r="D106" s="25" t="s">
        <v>354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43580</f>
        <v>43580</v>
      </c>
      <c r="L106" s="32" t="s">
        <v>904</v>
      </c>
      <c r="M106" s="31">
        <f>43580</f>
        <v>43580</v>
      </c>
      <c r="N106" s="32" t="s">
        <v>904</v>
      </c>
      <c r="O106" s="31">
        <f>42000</f>
        <v>42000</v>
      </c>
      <c r="P106" s="32" t="s">
        <v>813</v>
      </c>
      <c r="Q106" s="31">
        <f>42600</f>
        <v>42600</v>
      </c>
      <c r="R106" s="32" t="s">
        <v>936</v>
      </c>
      <c r="S106" s="33">
        <f>42807.5</f>
        <v>42807.5</v>
      </c>
      <c r="T106" s="30">
        <f>13472</f>
        <v>13472</v>
      </c>
      <c r="U106" s="30">
        <f>2475</f>
        <v>2475</v>
      </c>
      <c r="V106" s="30">
        <f>576291686</f>
        <v>576291686</v>
      </c>
      <c r="W106" s="30">
        <f>105959626</f>
        <v>105959626</v>
      </c>
      <c r="X106" s="34">
        <f>20</f>
        <v>20</v>
      </c>
    </row>
    <row r="107" spans="1:24" x14ac:dyDescent="0.15">
      <c r="A107" s="25" t="s">
        <v>993</v>
      </c>
      <c r="B107" s="25" t="s">
        <v>355</v>
      </c>
      <c r="C107" s="25" t="s">
        <v>356</v>
      </c>
      <c r="D107" s="25" t="s">
        <v>357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22275</f>
        <v>22275</v>
      </c>
      <c r="L107" s="32" t="s">
        <v>904</v>
      </c>
      <c r="M107" s="31">
        <f>24330</f>
        <v>24330</v>
      </c>
      <c r="N107" s="32" t="s">
        <v>908</v>
      </c>
      <c r="O107" s="31">
        <f>21410</f>
        <v>21410</v>
      </c>
      <c r="P107" s="32" t="s">
        <v>904</v>
      </c>
      <c r="Q107" s="31">
        <f>23840</f>
        <v>23840</v>
      </c>
      <c r="R107" s="32" t="s">
        <v>936</v>
      </c>
      <c r="S107" s="33">
        <f>23104.5</f>
        <v>23104.5</v>
      </c>
      <c r="T107" s="30">
        <f>1601820</f>
        <v>1601820</v>
      </c>
      <c r="U107" s="30">
        <f>160</f>
        <v>160</v>
      </c>
      <c r="V107" s="30">
        <f>36810587350</f>
        <v>36810587350</v>
      </c>
      <c r="W107" s="30">
        <f>3754000</f>
        <v>3754000</v>
      </c>
      <c r="X107" s="34">
        <f>20</f>
        <v>20</v>
      </c>
    </row>
    <row r="108" spans="1:24" x14ac:dyDescent="0.15">
      <c r="A108" s="25" t="s">
        <v>993</v>
      </c>
      <c r="B108" s="25" t="s">
        <v>358</v>
      </c>
      <c r="C108" s="25" t="s">
        <v>359</v>
      </c>
      <c r="D108" s="25" t="s">
        <v>360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2160</f>
        <v>2160</v>
      </c>
      <c r="L108" s="32" t="s">
        <v>904</v>
      </c>
      <c r="M108" s="31">
        <f>2201</f>
        <v>2201</v>
      </c>
      <c r="N108" s="32" t="s">
        <v>904</v>
      </c>
      <c r="O108" s="31">
        <f>2056.5</f>
        <v>2056.5</v>
      </c>
      <c r="P108" s="32" t="s">
        <v>94</v>
      </c>
      <c r="Q108" s="31">
        <f>2078.5</f>
        <v>2078.5</v>
      </c>
      <c r="R108" s="32" t="s">
        <v>936</v>
      </c>
      <c r="S108" s="33">
        <f>2114.48</f>
        <v>2114.48</v>
      </c>
      <c r="T108" s="30">
        <f>199850</f>
        <v>199850</v>
      </c>
      <c r="U108" s="30" t="str">
        <f>"－"</f>
        <v>－</v>
      </c>
      <c r="V108" s="30">
        <f>419822330</f>
        <v>419822330</v>
      </c>
      <c r="W108" s="30" t="str">
        <f>"－"</f>
        <v>－</v>
      </c>
      <c r="X108" s="34">
        <f>20</f>
        <v>20</v>
      </c>
    </row>
    <row r="109" spans="1:24" x14ac:dyDescent="0.15">
      <c r="A109" s="25" t="s">
        <v>993</v>
      </c>
      <c r="B109" s="25" t="s">
        <v>361</v>
      </c>
      <c r="C109" s="25" t="s">
        <v>362</v>
      </c>
      <c r="D109" s="25" t="s">
        <v>363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13075</f>
        <v>13075</v>
      </c>
      <c r="L109" s="32" t="s">
        <v>904</v>
      </c>
      <c r="M109" s="31">
        <f>14680</f>
        <v>14680</v>
      </c>
      <c r="N109" s="32" t="s">
        <v>94</v>
      </c>
      <c r="O109" s="31">
        <f>12510</f>
        <v>12510</v>
      </c>
      <c r="P109" s="32" t="s">
        <v>904</v>
      </c>
      <c r="Q109" s="31">
        <f>14430</f>
        <v>14430</v>
      </c>
      <c r="R109" s="32" t="s">
        <v>936</v>
      </c>
      <c r="S109" s="33">
        <f>13634.75</f>
        <v>13634.75</v>
      </c>
      <c r="T109" s="30">
        <f>209697713</f>
        <v>209697713</v>
      </c>
      <c r="U109" s="30">
        <f>2180281</f>
        <v>2180281</v>
      </c>
      <c r="V109" s="30">
        <f>2840387946667</f>
        <v>2840387946667</v>
      </c>
      <c r="W109" s="30">
        <f>31059989402</f>
        <v>31059989402</v>
      </c>
      <c r="X109" s="34">
        <f>20</f>
        <v>20</v>
      </c>
    </row>
    <row r="110" spans="1:24" x14ac:dyDescent="0.15">
      <c r="A110" s="25" t="s">
        <v>993</v>
      </c>
      <c r="B110" s="25" t="s">
        <v>364</v>
      </c>
      <c r="C110" s="25" t="s">
        <v>365</v>
      </c>
      <c r="D110" s="25" t="s">
        <v>366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1028</f>
        <v>1028</v>
      </c>
      <c r="L110" s="32" t="s">
        <v>904</v>
      </c>
      <c r="M110" s="31">
        <f>1050</f>
        <v>1050</v>
      </c>
      <c r="N110" s="32" t="s">
        <v>904</v>
      </c>
      <c r="O110" s="31">
        <f>965</f>
        <v>965</v>
      </c>
      <c r="P110" s="32" t="s">
        <v>94</v>
      </c>
      <c r="Q110" s="31">
        <f>974</f>
        <v>974</v>
      </c>
      <c r="R110" s="32" t="s">
        <v>936</v>
      </c>
      <c r="S110" s="33">
        <f>1004.3</f>
        <v>1004.3</v>
      </c>
      <c r="T110" s="30">
        <f>60437973</f>
        <v>60437973</v>
      </c>
      <c r="U110" s="30">
        <f>9146025</f>
        <v>9146025</v>
      </c>
      <c r="V110" s="30">
        <f>60927956729</f>
        <v>60927956729</v>
      </c>
      <c r="W110" s="30">
        <f>9339040365</f>
        <v>9339040365</v>
      </c>
      <c r="X110" s="34">
        <f>20</f>
        <v>20</v>
      </c>
    </row>
    <row r="111" spans="1:24" x14ac:dyDescent="0.15">
      <c r="A111" s="25" t="s">
        <v>993</v>
      </c>
      <c r="B111" s="25" t="s">
        <v>367</v>
      </c>
      <c r="C111" s="25" t="s">
        <v>368</v>
      </c>
      <c r="D111" s="25" t="s">
        <v>369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6819</f>
        <v>6819</v>
      </c>
      <c r="L111" s="32" t="s">
        <v>904</v>
      </c>
      <c r="M111" s="31">
        <f>6972</f>
        <v>6972</v>
      </c>
      <c r="N111" s="32" t="s">
        <v>810</v>
      </c>
      <c r="O111" s="31">
        <f>5340</f>
        <v>5340</v>
      </c>
      <c r="P111" s="32" t="s">
        <v>936</v>
      </c>
      <c r="Q111" s="31">
        <f>5444</f>
        <v>5444</v>
      </c>
      <c r="R111" s="32" t="s">
        <v>936</v>
      </c>
      <c r="S111" s="33">
        <f>6137</f>
        <v>6137</v>
      </c>
      <c r="T111" s="30">
        <f>120260</f>
        <v>120260</v>
      </c>
      <c r="U111" s="30" t="str">
        <f>"－"</f>
        <v>－</v>
      </c>
      <c r="V111" s="30">
        <f>741391170</f>
        <v>741391170</v>
      </c>
      <c r="W111" s="30" t="str">
        <f>"－"</f>
        <v>－</v>
      </c>
      <c r="X111" s="34">
        <f>20</f>
        <v>20</v>
      </c>
    </row>
    <row r="112" spans="1:24" x14ac:dyDescent="0.15">
      <c r="A112" s="25" t="s">
        <v>993</v>
      </c>
      <c r="B112" s="25" t="s">
        <v>370</v>
      </c>
      <c r="C112" s="25" t="s">
        <v>371</v>
      </c>
      <c r="D112" s="25" t="s">
        <v>372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9900</f>
        <v>9900</v>
      </c>
      <c r="L112" s="32" t="s">
        <v>904</v>
      </c>
      <c r="M112" s="31">
        <f>11000</f>
        <v>11000</v>
      </c>
      <c r="N112" s="32" t="s">
        <v>915</v>
      </c>
      <c r="O112" s="31">
        <f>9710</f>
        <v>9710</v>
      </c>
      <c r="P112" s="32" t="s">
        <v>811</v>
      </c>
      <c r="Q112" s="31">
        <f>10600</f>
        <v>10600</v>
      </c>
      <c r="R112" s="32" t="s">
        <v>936</v>
      </c>
      <c r="S112" s="33">
        <f>10385.5</f>
        <v>10385.5</v>
      </c>
      <c r="T112" s="30">
        <f>10200</f>
        <v>10200</v>
      </c>
      <c r="U112" s="30" t="str">
        <f>"－"</f>
        <v>－</v>
      </c>
      <c r="V112" s="30">
        <f>106182440</f>
        <v>106182440</v>
      </c>
      <c r="W112" s="30" t="str">
        <f>"－"</f>
        <v>－</v>
      </c>
      <c r="X112" s="34">
        <f>20</f>
        <v>20</v>
      </c>
    </row>
    <row r="113" spans="1:24" x14ac:dyDescent="0.15">
      <c r="A113" s="25" t="s">
        <v>993</v>
      </c>
      <c r="B113" s="25" t="s">
        <v>373</v>
      </c>
      <c r="C113" s="25" t="s">
        <v>374</v>
      </c>
      <c r="D113" s="25" t="s">
        <v>375</v>
      </c>
      <c r="E113" s="26" t="s">
        <v>45</v>
      </c>
      <c r="F113" s="27" t="s">
        <v>45</v>
      </c>
      <c r="G113" s="28" t="s">
        <v>45</v>
      </c>
      <c r="H113" s="29" t="s">
        <v>333</v>
      </c>
      <c r="I113" s="29" t="s">
        <v>46</v>
      </c>
      <c r="J113" s="30">
        <v>10</v>
      </c>
      <c r="K113" s="31">
        <f>859.7</f>
        <v>859.7</v>
      </c>
      <c r="L113" s="32" t="s">
        <v>904</v>
      </c>
      <c r="M113" s="31">
        <f>908.5</f>
        <v>908.5</v>
      </c>
      <c r="N113" s="32" t="s">
        <v>80</v>
      </c>
      <c r="O113" s="31">
        <f>790</f>
        <v>790</v>
      </c>
      <c r="P113" s="32" t="s">
        <v>936</v>
      </c>
      <c r="Q113" s="31">
        <f>793</f>
        <v>793</v>
      </c>
      <c r="R113" s="32" t="s">
        <v>936</v>
      </c>
      <c r="S113" s="33">
        <f>833.55</f>
        <v>833.55</v>
      </c>
      <c r="T113" s="30">
        <f>19780</f>
        <v>19780</v>
      </c>
      <c r="U113" s="30" t="str">
        <f>"－"</f>
        <v>－</v>
      </c>
      <c r="V113" s="30">
        <f>16921839</f>
        <v>16921839</v>
      </c>
      <c r="W113" s="30" t="str">
        <f>"－"</f>
        <v>－</v>
      </c>
      <c r="X113" s="34">
        <f>20</f>
        <v>20</v>
      </c>
    </row>
    <row r="114" spans="1:24" x14ac:dyDescent="0.15">
      <c r="A114" s="25" t="s">
        <v>993</v>
      </c>
      <c r="B114" s="25" t="s">
        <v>376</v>
      </c>
      <c r="C114" s="25" t="s">
        <v>377</v>
      </c>
      <c r="D114" s="25" t="s">
        <v>378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24335</f>
        <v>24335</v>
      </c>
      <c r="L114" s="32" t="s">
        <v>904</v>
      </c>
      <c r="M114" s="31">
        <f>24450</f>
        <v>24450</v>
      </c>
      <c r="N114" s="32" t="s">
        <v>94</v>
      </c>
      <c r="O114" s="31">
        <f>23400</f>
        <v>23400</v>
      </c>
      <c r="P114" s="32" t="s">
        <v>80</v>
      </c>
      <c r="Q114" s="31">
        <f>24195</f>
        <v>24195</v>
      </c>
      <c r="R114" s="32" t="s">
        <v>936</v>
      </c>
      <c r="S114" s="33">
        <f>24083.25</f>
        <v>24083.25</v>
      </c>
      <c r="T114" s="30">
        <f>57988</f>
        <v>57988</v>
      </c>
      <c r="U114" s="30">
        <f>16525</f>
        <v>16525</v>
      </c>
      <c r="V114" s="30">
        <f>1391075670</f>
        <v>1391075670</v>
      </c>
      <c r="W114" s="30">
        <f>398151465</f>
        <v>398151465</v>
      </c>
      <c r="X114" s="34">
        <f>20</f>
        <v>20</v>
      </c>
    </row>
    <row r="115" spans="1:24" x14ac:dyDescent="0.15">
      <c r="A115" s="25" t="s">
        <v>993</v>
      </c>
      <c r="B115" s="25" t="s">
        <v>379</v>
      </c>
      <c r="C115" s="25" t="s">
        <v>380</v>
      </c>
      <c r="D115" s="25" t="s">
        <v>381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2120</f>
        <v>2120</v>
      </c>
      <c r="L115" s="32" t="s">
        <v>904</v>
      </c>
      <c r="M115" s="31">
        <f>2236</f>
        <v>2236</v>
      </c>
      <c r="N115" s="32" t="s">
        <v>94</v>
      </c>
      <c r="O115" s="31">
        <f>2075</f>
        <v>2075</v>
      </c>
      <c r="P115" s="32" t="s">
        <v>904</v>
      </c>
      <c r="Q115" s="31">
        <f>2216</f>
        <v>2216</v>
      </c>
      <c r="R115" s="32" t="s">
        <v>936</v>
      </c>
      <c r="S115" s="33">
        <f>2153.9</f>
        <v>2153.9</v>
      </c>
      <c r="T115" s="30">
        <f>499002</f>
        <v>499002</v>
      </c>
      <c r="U115" s="30">
        <f>462000</f>
        <v>462000</v>
      </c>
      <c r="V115" s="30">
        <f>1100079870</f>
        <v>1100079870</v>
      </c>
      <c r="W115" s="30">
        <f>1020280800</f>
        <v>1020280800</v>
      </c>
      <c r="X115" s="34">
        <f>20</f>
        <v>20</v>
      </c>
    </row>
    <row r="116" spans="1:24" x14ac:dyDescent="0.15">
      <c r="A116" s="25" t="s">
        <v>993</v>
      </c>
      <c r="B116" s="25" t="s">
        <v>382</v>
      </c>
      <c r="C116" s="25" t="s">
        <v>383</v>
      </c>
      <c r="D116" s="25" t="s">
        <v>384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13985</f>
        <v>13985</v>
      </c>
      <c r="L116" s="32" t="s">
        <v>904</v>
      </c>
      <c r="M116" s="31">
        <f>15710</f>
        <v>15710</v>
      </c>
      <c r="N116" s="32" t="s">
        <v>94</v>
      </c>
      <c r="O116" s="31">
        <f>13385</f>
        <v>13385</v>
      </c>
      <c r="P116" s="32" t="s">
        <v>904</v>
      </c>
      <c r="Q116" s="31">
        <f>15450</f>
        <v>15450</v>
      </c>
      <c r="R116" s="32" t="s">
        <v>936</v>
      </c>
      <c r="S116" s="33">
        <f>14593</f>
        <v>14593</v>
      </c>
      <c r="T116" s="30">
        <f>18896060</f>
        <v>18896060</v>
      </c>
      <c r="U116" s="30">
        <f>70060</f>
        <v>70060</v>
      </c>
      <c r="V116" s="30">
        <f>274602164150</f>
        <v>274602164150</v>
      </c>
      <c r="W116" s="30">
        <f>983559950</f>
        <v>983559950</v>
      </c>
      <c r="X116" s="34">
        <f>20</f>
        <v>20</v>
      </c>
    </row>
    <row r="117" spans="1:24" x14ac:dyDescent="0.15">
      <c r="A117" s="25" t="s">
        <v>993</v>
      </c>
      <c r="B117" s="25" t="s">
        <v>385</v>
      </c>
      <c r="C117" s="25" t="s">
        <v>386</v>
      </c>
      <c r="D117" s="25" t="s">
        <v>387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2730.5</f>
        <v>2730.5</v>
      </c>
      <c r="L117" s="32" t="s">
        <v>904</v>
      </c>
      <c r="M117" s="31">
        <f>2788</f>
        <v>2788</v>
      </c>
      <c r="N117" s="32" t="s">
        <v>904</v>
      </c>
      <c r="O117" s="31">
        <f>2563</f>
        <v>2563</v>
      </c>
      <c r="P117" s="32" t="s">
        <v>94</v>
      </c>
      <c r="Q117" s="31">
        <f>2583.5</f>
        <v>2583.5</v>
      </c>
      <c r="R117" s="32" t="s">
        <v>936</v>
      </c>
      <c r="S117" s="33">
        <f>2667.33</f>
        <v>2667.33</v>
      </c>
      <c r="T117" s="30">
        <f>1454510</f>
        <v>1454510</v>
      </c>
      <c r="U117" s="30">
        <f>384700</f>
        <v>384700</v>
      </c>
      <c r="V117" s="30">
        <f>3845753939</f>
        <v>3845753939</v>
      </c>
      <c r="W117" s="30">
        <f>999175924</f>
        <v>999175924</v>
      </c>
      <c r="X117" s="34">
        <f>20</f>
        <v>20</v>
      </c>
    </row>
    <row r="118" spans="1:24" x14ac:dyDescent="0.15">
      <c r="A118" s="25" t="s">
        <v>993</v>
      </c>
      <c r="B118" s="25" t="s">
        <v>388</v>
      </c>
      <c r="C118" s="25" t="s">
        <v>389</v>
      </c>
      <c r="D118" s="25" t="s">
        <v>390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815</f>
        <v>815</v>
      </c>
      <c r="L118" s="32" t="s">
        <v>811</v>
      </c>
      <c r="M118" s="31">
        <f>880</f>
        <v>880</v>
      </c>
      <c r="N118" s="32" t="s">
        <v>695</v>
      </c>
      <c r="O118" s="31">
        <f>815</f>
        <v>815</v>
      </c>
      <c r="P118" s="32" t="s">
        <v>811</v>
      </c>
      <c r="Q118" s="31">
        <f>880</f>
        <v>880</v>
      </c>
      <c r="R118" s="32" t="s">
        <v>936</v>
      </c>
      <c r="S118" s="33">
        <f>856.5</f>
        <v>856.5</v>
      </c>
      <c r="T118" s="30">
        <f>290</f>
        <v>290</v>
      </c>
      <c r="U118" s="30" t="str">
        <f>"－"</f>
        <v>－</v>
      </c>
      <c r="V118" s="30">
        <f>243600</f>
        <v>243600</v>
      </c>
      <c r="W118" s="30" t="str">
        <f>"－"</f>
        <v>－</v>
      </c>
      <c r="X118" s="34">
        <f>10</f>
        <v>10</v>
      </c>
    </row>
    <row r="119" spans="1:24" x14ac:dyDescent="0.15">
      <c r="A119" s="25" t="s">
        <v>993</v>
      </c>
      <c r="B119" s="25" t="s">
        <v>391</v>
      </c>
      <c r="C119" s="25" t="s">
        <v>392</v>
      </c>
      <c r="D119" s="25" t="s">
        <v>393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1488</f>
        <v>1488</v>
      </c>
      <c r="L119" s="32" t="s">
        <v>810</v>
      </c>
      <c r="M119" s="31">
        <f>1523</f>
        <v>1523</v>
      </c>
      <c r="N119" s="32" t="s">
        <v>936</v>
      </c>
      <c r="O119" s="31">
        <f>1475</f>
        <v>1475</v>
      </c>
      <c r="P119" s="32" t="s">
        <v>56</v>
      </c>
      <c r="Q119" s="31">
        <f>1523</f>
        <v>1523</v>
      </c>
      <c r="R119" s="32" t="s">
        <v>936</v>
      </c>
      <c r="S119" s="33">
        <f>1492.5</f>
        <v>1492.5</v>
      </c>
      <c r="T119" s="30">
        <f>53820</f>
        <v>53820</v>
      </c>
      <c r="U119" s="30">
        <f>53620</f>
        <v>53620</v>
      </c>
      <c r="V119" s="30">
        <f>80219034</f>
        <v>80219034</v>
      </c>
      <c r="W119" s="30">
        <f>79919554</f>
        <v>79919554</v>
      </c>
      <c r="X119" s="34">
        <f>6</f>
        <v>6</v>
      </c>
    </row>
    <row r="120" spans="1:24" x14ac:dyDescent="0.15">
      <c r="A120" s="25" t="s">
        <v>993</v>
      </c>
      <c r="B120" s="25" t="s">
        <v>394</v>
      </c>
      <c r="C120" s="25" t="s">
        <v>395</v>
      </c>
      <c r="D120" s="25" t="s">
        <v>396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1626</f>
        <v>1626</v>
      </c>
      <c r="L120" s="32" t="s">
        <v>904</v>
      </c>
      <c r="M120" s="31">
        <f>1679</f>
        <v>1679</v>
      </c>
      <c r="N120" s="32" t="s">
        <v>912</v>
      </c>
      <c r="O120" s="31">
        <f>1555</f>
        <v>1555</v>
      </c>
      <c r="P120" s="32" t="s">
        <v>70</v>
      </c>
      <c r="Q120" s="31">
        <f>1633</f>
        <v>1633</v>
      </c>
      <c r="R120" s="32" t="s">
        <v>936</v>
      </c>
      <c r="S120" s="33">
        <f>1607.6</f>
        <v>1607.6</v>
      </c>
      <c r="T120" s="30">
        <f>5851</f>
        <v>5851</v>
      </c>
      <c r="U120" s="30" t="str">
        <f>"－"</f>
        <v>－</v>
      </c>
      <c r="V120" s="30">
        <f>9408837</f>
        <v>9408837</v>
      </c>
      <c r="W120" s="30" t="str">
        <f>"－"</f>
        <v>－</v>
      </c>
      <c r="X120" s="34">
        <f>20</f>
        <v>20</v>
      </c>
    </row>
    <row r="121" spans="1:24" x14ac:dyDescent="0.15">
      <c r="A121" s="25" t="s">
        <v>993</v>
      </c>
      <c r="B121" s="25" t="s">
        <v>397</v>
      </c>
      <c r="C121" s="25" t="s">
        <v>398</v>
      </c>
      <c r="D121" s="25" t="s">
        <v>399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16900</f>
        <v>16900</v>
      </c>
      <c r="L121" s="32" t="s">
        <v>904</v>
      </c>
      <c r="M121" s="31">
        <f>17700</f>
        <v>17700</v>
      </c>
      <c r="N121" s="32" t="s">
        <v>908</v>
      </c>
      <c r="O121" s="31">
        <f>16565</f>
        <v>16565</v>
      </c>
      <c r="P121" s="32" t="s">
        <v>904</v>
      </c>
      <c r="Q121" s="31">
        <f>17570</f>
        <v>17570</v>
      </c>
      <c r="R121" s="32" t="s">
        <v>936</v>
      </c>
      <c r="S121" s="33">
        <f>17231.25</f>
        <v>17231.25</v>
      </c>
      <c r="T121" s="30">
        <f>84120</f>
        <v>84120</v>
      </c>
      <c r="U121" s="30">
        <f>62000</f>
        <v>62000</v>
      </c>
      <c r="V121" s="30">
        <f>1430531335</f>
        <v>1430531335</v>
      </c>
      <c r="W121" s="30">
        <f>1048003000</f>
        <v>1048003000</v>
      </c>
      <c r="X121" s="34">
        <f>20</f>
        <v>20</v>
      </c>
    </row>
    <row r="122" spans="1:24" x14ac:dyDescent="0.15">
      <c r="A122" s="25" t="s">
        <v>993</v>
      </c>
      <c r="B122" s="25" t="s">
        <v>400</v>
      </c>
      <c r="C122" s="25" t="s">
        <v>401</v>
      </c>
      <c r="D122" s="25" t="s">
        <v>402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1576</f>
        <v>1576</v>
      </c>
      <c r="L122" s="32" t="s">
        <v>904</v>
      </c>
      <c r="M122" s="31">
        <f>1612</f>
        <v>1612</v>
      </c>
      <c r="N122" s="32" t="s">
        <v>908</v>
      </c>
      <c r="O122" s="31">
        <f>1531</f>
        <v>1531</v>
      </c>
      <c r="P122" s="32" t="s">
        <v>70</v>
      </c>
      <c r="Q122" s="31">
        <f>1595</f>
        <v>1595</v>
      </c>
      <c r="R122" s="32" t="s">
        <v>936</v>
      </c>
      <c r="S122" s="33">
        <f>1572.8</f>
        <v>1572.8</v>
      </c>
      <c r="T122" s="30">
        <f>261273</f>
        <v>261273</v>
      </c>
      <c r="U122" s="30">
        <f>100622</f>
        <v>100622</v>
      </c>
      <c r="V122" s="30">
        <f>407044092</f>
        <v>407044092</v>
      </c>
      <c r="W122" s="30">
        <f>156769076</f>
        <v>156769076</v>
      </c>
      <c r="X122" s="34">
        <f>20</f>
        <v>20</v>
      </c>
    </row>
    <row r="123" spans="1:24" x14ac:dyDescent="0.15">
      <c r="A123" s="25" t="s">
        <v>993</v>
      </c>
      <c r="B123" s="25" t="s">
        <v>403</v>
      </c>
      <c r="C123" s="25" t="s">
        <v>404</v>
      </c>
      <c r="D123" s="25" t="s">
        <v>405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17455</f>
        <v>17455</v>
      </c>
      <c r="L123" s="32" t="s">
        <v>904</v>
      </c>
      <c r="M123" s="31">
        <f>18100</f>
        <v>18100</v>
      </c>
      <c r="N123" s="32" t="s">
        <v>812</v>
      </c>
      <c r="O123" s="31">
        <f>17115</f>
        <v>17115</v>
      </c>
      <c r="P123" s="32" t="s">
        <v>904</v>
      </c>
      <c r="Q123" s="31">
        <f>17860</f>
        <v>17860</v>
      </c>
      <c r="R123" s="32" t="s">
        <v>936</v>
      </c>
      <c r="S123" s="33">
        <f>17700.25</f>
        <v>17700.25</v>
      </c>
      <c r="T123" s="30">
        <f>16125</f>
        <v>16125</v>
      </c>
      <c r="U123" s="30">
        <f>2868</f>
        <v>2868</v>
      </c>
      <c r="V123" s="30">
        <f>283962687</f>
        <v>283962687</v>
      </c>
      <c r="W123" s="30">
        <f>50507752</f>
        <v>50507752</v>
      </c>
      <c r="X123" s="34">
        <f>20</f>
        <v>20</v>
      </c>
    </row>
    <row r="124" spans="1:24" x14ac:dyDescent="0.15">
      <c r="A124" s="25" t="s">
        <v>993</v>
      </c>
      <c r="B124" s="25" t="s">
        <v>406</v>
      </c>
      <c r="C124" s="25" t="s">
        <v>407</v>
      </c>
      <c r="D124" s="25" t="s">
        <v>408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2011</f>
        <v>2011</v>
      </c>
      <c r="L124" s="32" t="s">
        <v>904</v>
      </c>
      <c r="M124" s="31">
        <f>2054.5</f>
        <v>2054.5</v>
      </c>
      <c r="N124" s="32" t="s">
        <v>936</v>
      </c>
      <c r="O124" s="31">
        <f>1980</f>
        <v>1980</v>
      </c>
      <c r="P124" s="32" t="s">
        <v>904</v>
      </c>
      <c r="Q124" s="31">
        <f>2054.5</f>
        <v>2054.5</v>
      </c>
      <c r="R124" s="32" t="s">
        <v>936</v>
      </c>
      <c r="S124" s="33">
        <f>2011.23</f>
        <v>2011.23</v>
      </c>
      <c r="T124" s="30">
        <f>715610</f>
        <v>715610</v>
      </c>
      <c r="U124" s="30">
        <f>133040</f>
        <v>133040</v>
      </c>
      <c r="V124" s="30">
        <f>1449746603</f>
        <v>1449746603</v>
      </c>
      <c r="W124" s="30">
        <f>267561138</f>
        <v>267561138</v>
      </c>
      <c r="X124" s="34">
        <f>20</f>
        <v>20</v>
      </c>
    </row>
    <row r="125" spans="1:24" x14ac:dyDescent="0.15">
      <c r="A125" s="25" t="s">
        <v>993</v>
      </c>
      <c r="B125" s="25" t="s">
        <v>409</v>
      </c>
      <c r="C125" s="25" t="s">
        <v>410</v>
      </c>
      <c r="D125" s="25" t="s">
        <v>411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1630</f>
        <v>1630</v>
      </c>
      <c r="L125" s="32" t="s">
        <v>811</v>
      </c>
      <c r="M125" s="31">
        <f>1681</f>
        <v>1681</v>
      </c>
      <c r="N125" s="32" t="s">
        <v>815</v>
      </c>
      <c r="O125" s="31">
        <f>1628</f>
        <v>1628</v>
      </c>
      <c r="P125" s="32" t="s">
        <v>70</v>
      </c>
      <c r="Q125" s="31">
        <f>1681</f>
        <v>1681</v>
      </c>
      <c r="R125" s="32" t="s">
        <v>815</v>
      </c>
      <c r="S125" s="33">
        <f>1644.5</f>
        <v>1644.5</v>
      </c>
      <c r="T125" s="30">
        <f>2310</f>
        <v>2310</v>
      </c>
      <c r="U125" s="30" t="str">
        <f>"－"</f>
        <v>－</v>
      </c>
      <c r="V125" s="30">
        <f>3776280</f>
        <v>3776280</v>
      </c>
      <c r="W125" s="30" t="str">
        <f>"－"</f>
        <v>－</v>
      </c>
      <c r="X125" s="34">
        <f>5</f>
        <v>5</v>
      </c>
    </row>
    <row r="126" spans="1:24" x14ac:dyDescent="0.15">
      <c r="A126" s="25" t="s">
        <v>993</v>
      </c>
      <c r="B126" s="25" t="s">
        <v>412</v>
      </c>
      <c r="C126" s="25" t="s">
        <v>413</v>
      </c>
      <c r="D126" s="25" t="s">
        <v>414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2016</f>
        <v>2016</v>
      </c>
      <c r="L126" s="32" t="s">
        <v>904</v>
      </c>
      <c r="M126" s="31">
        <f>2076</f>
        <v>2076</v>
      </c>
      <c r="N126" s="32" t="s">
        <v>936</v>
      </c>
      <c r="O126" s="31">
        <f>1979</f>
        <v>1979</v>
      </c>
      <c r="P126" s="32" t="s">
        <v>904</v>
      </c>
      <c r="Q126" s="31">
        <f>2075</f>
        <v>2075</v>
      </c>
      <c r="R126" s="32" t="s">
        <v>936</v>
      </c>
      <c r="S126" s="33">
        <f>2025.53</f>
        <v>2025.53</v>
      </c>
      <c r="T126" s="30">
        <f>255780</f>
        <v>255780</v>
      </c>
      <c r="U126" s="30">
        <f>30000</f>
        <v>30000</v>
      </c>
      <c r="V126" s="30">
        <f>516144345</f>
        <v>516144345</v>
      </c>
      <c r="W126" s="30">
        <f>60306000</f>
        <v>60306000</v>
      </c>
      <c r="X126" s="34">
        <f>20</f>
        <v>20</v>
      </c>
    </row>
    <row r="127" spans="1:24" x14ac:dyDescent="0.15">
      <c r="A127" s="25" t="s">
        <v>993</v>
      </c>
      <c r="B127" s="25" t="s">
        <v>415</v>
      </c>
      <c r="C127" s="25" t="s">
        <v>416</v>
      </c>
      <c r="D127" s="25" t="s">
        <v>417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17165</f>
        <v>17165</v>
      </c>
      <c r="L127" s="32" t="s">
        <v>811</v>
      </c>
      <c r="M127" s="31">
        <f>17785</f>
        <v>17785</v>
      </c>
      <c r="N127" s="32" t="s">
        <v>908</v>
      </c>
      <c r="O127" s="31">
        <f>16540</f>
        <v>16540</v>
      </c>
      <c r="P127" s="32" t="s">
        <v>70</v>
      </c>
      <c r="Q127" s="31">
        <f>17655</f>
        <v>17655</v>
      </c>
      <c r="R127" s="32" t="s">
        <v>94</v>
      </c>
      <c r="S127" s="33">
        <f>17405</f>
        <v>17405</v>
      </c>
      <c r="T127" s="30">
        <f>21256</f>
        <v>21256</v>
      </c>
      <c r="U127" s="30">
        <f>20635</f>
        <v>20635</v>
      </c>
      <c r="V127" s="30">
        <f>366210816</f>
        <v>366210816</v>
      </c>
      <c r="W127" s="30">
        <f>355586031</f>
        <v>355586031</v>
      </c>
      <c r="X127" s="34">
        <f>16</f>
        <v>16</v>
      </c>
    </row>
    <row r="128" spans="1:24" x14ac:dyDescent="0.15">
      <c r="A128" s="25" t="s">
        <v>993</v>
      </c>
      <c r="B128" s="25" t="s">
        <v>418</v>
      </c>
      <c r="C128" s="25" t="s">
        <v>419</v>
      </c>
      <c r="D128" s="25" t="s">
        <v>420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100</v>
      </c>
      <c r="K128" s="31">
        <f>168.5</f>
        <v>168.5</v>
      </c>
      <c r="L128" s="32" t="s">
        <v>904</v>
      </c>
      <c r="M128" s="31">
        <f>171.7</f>
        <v>171.7</v>
      </c>
      <c r="N128" s="32" t="s">
        <v>821</v>
      </c>
      <c r="O128" s="31">
        <f>158.1</f>
        <v>158.1</v>
      </c>
      <c r="P128" s="32" t="s">
        <v>915</v>
      </c>
      <c r="Q128" s="31">
        <f>165.3</f>
        <v>165.3</v>
      </c>
      <c r="R128" s="32" t="s">
        <v>936</v>
      </c>
      <c r="S128" s="33">
        <f>166.1</f>
        <v>166.1</v>
      </c>
      <c r="T128" s="30">
        <f>40227400</f>
        <v>40227400</v>
      </c>
      <c r="U128" s="30">
        <f>621200</f>
        <v>621200</v>
      </c>
      <c r="V128" s="30">
        <f>6583503494</f>
        <v>6583503494</v>
      </c>
      <c r="W128" s="30">
        <f>100161204</f>
        <v>100161204</v>
      </c>
      <c r="X128" s="34">
        <f>20</f>
        <v>20</v>
      </c>
    </row>
    <row r="129" spans="1:24" x14ac:dyDescent="0.15">
      <c r="A129" s="25" t="s">
        <v>993</v>
      </c>
      <c r="B129" s="25" t="s">
        <v>421</v>
      </c>
      <c r="C129" s="25" t="s">
        <v>422</v>
      </c>
      <c r="D129" s="25" t="s">
        <v>423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29030</f>
        <v>29030</v>
      </c>
      <c r="L129" s="32" t="s">
        <v>904</v>
      </c>
      <c r="M129" s="31">
        <f>29865</f>
        <v>29865</v>
      </c>
      <c r="N129" s="32" t="s">
        <v>821</v>
      </c>
      <c r="O129" s="31">
        <f>28465</f>
        <v>28465</v>
      </c>
      <c r="P129" s="32" t="s">
        <v>816</v>
      </c>
      <c r="Q129" s="31">
        <f>28955</f>
        <v>28955</v>
      </c>
      <c r="R129" s="32" t="s">
        <v>936</v>
      </c>
      <c r="S129" s="33">
        <f>29140.5</f>
        <v>29140.5</v>
      </c>
      <c r="T129" s="30">
        <f>1452</f>
        <v>1452</v>
      </c>
      <c r="U129" s="30" t="str">
        <f>"－"</f>
        <v>－</v>
      </c>
      <c r="V129" s="30">
        <f>42390190</f>
        <v>42390190</v>
      </c>
      <c r="W129" s="30" t="str">
        <f>"－"</f>
        <v>－</v>
      </c>
      <c r="X129" s="34">
        <f>20</f>
        <v>20</v>
      </c>
    </row>
    <row r="130" spans="1:24" x14ac:dyDescent="0.15">
      <c r="A130" s="25" t="s">
        <v>993</v>
      </c>
      <c r="B130" s="25" t="s">
        <v>424</v>
      </c>
      <c r="C130" s="25" t="s">
        <v>425</v>
      </c>
      <c r="D130" s="25" t="s">
        <v>426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13780</f>
        <v>13780</v>
      </c>
      <c r="L130" s="32" t="s">
        <v>904</v>
      </c>
      <c r="M130" s="31">
        <f>14410</f>
        <v>14410</v>
      </c>
      <c r="N130" s="32" t="s">
        <v>810</v>
      </c>
      <c r="O130" s="31">
        <f>12695</f>
        <v>12695</v>
      </c>
      <c r="P130" s="32" t="s">
        <v>915</v>
      </c>
      <c r="Q130" s="31">
        <f>13775</f>
        <v>13775</v>
      </c>
      <c r="R130" s="32" t="s">
        <v>936</v>
      </c>
      <c r="S130" s="33">
        <f>13436.75</f>
        <v>13436.75</v>
      </c>
      <c r="T130" s="30">
        <f>21945</f>
        <v>21945</v>
      </c>
      <c r="U130" s="30">
        <f>1</f>
        <v>1</v>
      </c>
      <c r="V130" s="30">
        <f>293009485</f>
        <v>293009485</v>
      </c>
      <c r="W130" s="30">
        <f>14800</f>
        <v>14800</v>
      </c>
      <c r="X130" s="34">
        <f>20</f>
        <v>20</v>
      </c>
    </row>
    <row r="131" spans="1:24" x14ac:dyDescent="0.15">
      <c r="A131" s="25" t="s">
        <v>993</v>
      </c>
      <c r="B131" s="25" t="s">
        <v>427</v>
      </c>
      <c r="C131" s="25" t="s">
        <v>428</v>
      </c>
      <c r="D131" s="25" t="s">
        <v>429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21400</f>
        <v>21400</v>
      </c>
      <c r="L131" s="32" t="s">
        <v>904</v>
      </c>
      <c r="M131" s="31">
        <f>21695</f>
        <v>21695</v>
      </c>
      <c r="N131" s="32" t="s">
        <v>821</v>
      </c>
      <c r="O131" s="31">
        <f>20515</f>
        <v>20515</v>
      </c>
      <c r="P131" s="32" t="s">
        <v>915</v>
      </c>
      <c r="Q131" s="31">
        <f>21335</f>
        <v>21335</v>
      </c>
      <c r="R131" s="32" t="s">
        <v>936</v>
      </c>
      <c r="S131" s="33">
        <f>21204.5</f>
        <v>21204.5</v>
      </c>
      <c r="T131" s="30">
        <f>858</f>
        <v>858</v>
      </c>
      <c r="U131" s="30" t="str">
        <f>"－"</f>
        <v>－</v>
      </c>
      <c r="V131" s="30">
        <f>18112060</f>
        <v>18112060</v>
      </c>
      <c r="W131" s="30" t="str">
        <f>"－"</f>
        <v>－</v>
      </c>
      <c r="X131" s="34">
        <f>20</f>
        <v>20</v>
      </c>
    </row>
    <row r="132" spans="1:24" x14ac:dyDescent="0.15">
      <c r="A132" s="25" t="s">
        <v>993</v>
      </c>
      <c r="B132" s="25" t="s">
        <v>430</v>
      </c>
      <c r="C132" s="25" t="s">
        <v>431</v>
      </c>
      <c r="D132" s="25" t="s">
        <v>432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24090</f>
        <v>24090</v>
      </c>
      <c r="L132" s="32" t="s">
        <v>904</v>
      </c>
      <c r="M132" s="31">
        <f>24895</f>
        <v>24895</v>
      </c>
      <c r="N132" s="32" t="s">
        <v>821</v>
      </c>
      <c r="O132" s="31">
        <f>23770</f>
        <v>23770</v>
      </c>
      <c r="P132" s="32" t="s">
        <v>695</v>
      </c>
      <c r="Q132" s="31">
        <f>24300</f>
        <v>24300</v>
      </c>
      <c r="R132" s="32" t="s">
        <v>936</v>
      </c>
      <c r="S132" s="33">
        <f>24364.75</f>
        <v>24364.75</v>
      </c>
      <c r="T132" s="30">
        <f>892</f>
        <v>892</v>
      </c>
      <c r="U132" s="30" t="str">
        <f>"－"</f>
        <v>－</v>
      </c>
      <c r="V132" s="30">
        <f>21698645</f>
        <v>21698645</v>
      </c>
      <c r="W132" s="30" t="str">
        <f>"－"</f>
        <v>－</v>
      </c>
      <c r="X132" s="34">
        <f>20</f>
        <v>20</v>
      </c>
    </row>
    <row r="133" spans="1:24" x14ac:dyDescent="0.15">
      <c r="A133" s="25" t="s">
        <v>993</v>
      </c>
      <c r="B133" s="25" t="s">
        <v>433</v>
      </c>
      <c r="C133" s="25" t="s">
        <v>434</v>
      </c>
      <c r="D133" s="25" t="s">
        <v>435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24150</f>
        <v>24150</v>
      </c>
      <c r="L133" s="32" t="s">
        <v>904</v>
      </c>
      <c r="M133" s="31">
        <f>25500</f>
        <v>25500</v>
      </c>
      <c r="N133" s="32" t="s">
        <v>813</v>
      </c>
      <c r="O133" s="31">
        <f>23780</f>
        <v>23780</v>
      </c>
      <c r="P133" s="32" t="s">
        <v>904</v>
      </c>
      <c r="Q133" s="31">
        <f>24315</f>
        <v>24315</v>
      </c>
      <c r="R133" s="32" t="s">
        <v>936</v>
      </c>
      <c r="S133" s="33">
        <f>24786.25</f>
        <v>24786.25</v>
      </c>
      <c r="T133" s="30">
        <f>7119</f>
        <v>7119</v>
      </c>
      <c r="U133" s="30">
        <f>1272</f>
        <v>1272</v>
      </c>
      <c r="V133" s="30">
        <f>175284675</f>
        <v>175284675</v>
      </c>
      <c r="W133" s="30">
        <f>30380015</f>
        <v>30380015</v>
      </c>
      <c r="X133" s="34">
        <f>20</f>
        <v>20</v>
      </c>
    </row>
    <row r="134" spans="1:24" x14ac:dyDescent="0.15">
      <c r="A134" s="25" t="s">
        <v>993</v>
      </c>
      <c r="B134" s="25" t="s">
        <v>436</v>
      </c>
      <c r="C134" s="25" t="s">
        <v>437</v>
      </c>
      <c r="D134" s="25" t="s">
        <v>438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23650</f>
        <v>23650</v>
      </c>
      <c r="L134" s="32" t="s">
        <v>904</v>
      </c>
      <c r="M134" s="31">
        <f>24565</f>
        <v>24565</v>
      </c>
      <c r="N134" s="32" t="s">
        <v>66</v>
      </c>
      <c r="O134" s="31">
        <f>22885</f>
        <v>22885</v>
      </c>
      <c r="P134" s="32" t="s">
        <v>80</v>
      </c>
      <c r="Q134" s="31">
        <f>23690</f>
        <v>23690</v>
      </c>
      <c r="R134" s="32" t="s">
        <v>936</v>
      </c>
      <c r="S134" s="33">
        <f>23852.75</f>
        <v>23852.75</v>
      </c>
      <c r="T134" s="30">
        <f>15520</f>
        <v>15520</v>
      </c>
      <c r="U134" s="30">
        <f>9000</f>
        <v>9000</v>
      </c>
      <c r="V134" s="30">
        <f>374868030</f>
        <v>374868030</v>
      </c>
      <c r="W134" s="30">
        <f>219447000</f>
        <v>219447000</v>
      </c>
      <c r="X134" s="34">
        <f>20</f>
        <v>20</v>
      </c>
    </row>
    <row r="135" spans="1:24" x14ac:dyDescent="0.15">
      <c r="A135" s="25" t="s">
        <v>993</v>
      </c>
      <c r="B135" s="25" t="s">
        <v>439</v>
      </c>
      <c r="C135" s="25" t="s">
        <v>440</v>
      </c>
      <c r="D135" s="25" t="s">
        <v>441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16355</f>
        <v>16355</v>
      </c>
      <c r="L135" s="32" t="s">
        <v>904</v>
      </c>
      <c r="M135" s="31">
        <f>16485</f>
        <v>16485</v>
      </c>
      <c r="N135" s="32" t="s">
        <v>821</v>
      </c>
      <c r="O135" s="31">
        <f>15400</f>
        <v>15400</v>
      </c>
      <c r="P135" s="32" t="s">
        <v>695</v>
      </c>
      <c r="Q135" s="31">
        <f>15970</f>
        <v>15970</v>
      </c>
      <c r="R135" s="32" t="s">
        <v>936</v>
      </c>
      <c r="S135" s="33">
        <f>16010.75</f>
        <v>16010.75</v>
      </c>
      <c r="T135" s="30">
        <f>7694</f>
        <v>7694</v>
      </c>
      <c r="U135" s="30" t="str">
        <f>"－"</f>
        <v>－</v>
      </c>
      <c r="V135" s="30">
        <f>122286550</f>
        <v>122286550</v>
      </c>
      <c r="W135" s="30" t="str">
        <f>"－"</f>
        <v>－</v>
      </c>
      <c r="X135" s="34">
        <f>20</f>
        <v>20</v>
      </c>
    </row>
    <row r="136" spans="1:24" x14ac:dyDescent="0.15">
      <c r="A136" s="25" t="s">
        <v>993</v>
      </c>
      <c r="B136" s="25" t="s">
        <v>442</v>
      </c>
      <c r="C136" s="25" t="s">
        <v>443</v>
      </c>
      <c r="D136" s="25" t="s">
        <v>444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37700</f>
        <v>37700</v>
      </c>
      <c r="L136" s="32" t="s">
        <v>904</v>
      </c>
      <c r="M136" s="31">
        <f>39010</f>
        <v>39010</v>
      </c>
      <c r="N136" s="32" t="s">
        <v>908</v>
      </c>
      <c r="O136" s="31">
        <f>36490</f>
        <v>36490</v>
      </c>
      <c r="P136" s="32" t="s">
        <v>695</v>
      </c>
      <c r="Q136" s="31">
        <f>38430</f>
        <v>38430</v>
      </c>
      <c r="R136" s="32" t="s">
        <v>94</v>
      </c>
      <c r="S136" s="33">
        <f>37966.32</f>
        <v>37966.32</v>
      </c>
      <c r="T136" s="30">
        <f>2323</f>
        <v>2323</v>
      </c>
      <c r="U136" s="30" t="str">
        <f>"－"</f>
        <v>－</v>
      </c>
      <c r="V136" s="30">
        <f>87464930</f>
        <v>87464930</v>
      </c>
      <c r="W136" s="30" t="str">
        <f>"－"</f>
        <v>－</v>
      </c>
      <c r="X136" s="34">
        <f>19</f>
        <v>19</v>
      </c>
    </row>
    <row r="137" spans="1:24" x14ac:dyDescent="0.15">
      <c r="A137" s="25" t="s">
        <v>993</v>
      </c>
      <c r="B137" s="25" t="s">
        <v>445</v>
      </c>
      <c r="C137" s="25" t="s">
        <v>446</v>
      </c>
      <c r="D137" s="25" t="s">
        <v>447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25880</f>
        <v>25880</v>
      </c>
      <c r="L137" s="32" t="s">
        <v>904</v>
      </c>
      <c r="M137" s="31">
        <f>27760</f>
        <v>27760</v>
      </c>
      <c r="N137" s="32" t="s">
        <v>908</v>
      </c>
      <c r="O137" s="31">
        <f>25325</f>
        <v>25325</v>
      </c>
      <c r="P137" s="32" t="s">
        <v>904</v>
      </c>
      <c r="Q137" s="31">
        <f>27100</f>
        <v>27100</v>
      </c>
      <c r="R137" s="32" t="s">
        <v>936</v>
      </c>
      <c r="S137" s="33">
        <f>26637</f>
        <v>26637</v>
      </c>
      <c r="T137" s="30">
        <f>10711</f>
        <v>10711</v>
      </c>
      <c r="U137" s="30">
        <f>6000</f>
        <v>6000</v>
      </c>
      <c r="V137" s="30">
        <f>286106565</f>
        <v>286106565</v>
      </c>
      <c r="W137" s="30">
        <f>161920000</f>
        <v>161920000</v>
      </c>
      <c r="X137" s="34">
        <f>20</f>
        <v>20</v>
      </c>
    </row>
    <row r="138" spans="1:24" x14ac:dyDescent="0.15">
      <c r="A138" s="25" t="s">
        <v>993</v>
      </c>
      <c r="B138" s="25" t="s">
        <v>448</v>
      </c>
      <c r="C138" s="25" t="s">
        <v>449</v>
      </c>
      <c r="D138" s="25" t="s">
        <v>450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27505</f>
        <v>27505</v>
      </c>
      <c r="L138" s="32" t="s">
        <v>904</v>
      </c>
      <c r="M138" s="31">
        <f>28650</f>
        <v>28650</v>
      </c>
      <c r="N138" s="32" t="s">
        <v>936</v>
      </c>
      <c r="O138" s="31">
        <f>27065</f>
        <v>27065</v>
      </c>
      <c r="P138" s="32" t="s">
        <v>904</v>
      </c>
      <c r="Q138" s="31">
        <f>28475</f>
        <v>28475</v>
      </c>
      <c r="R138" s="32" t="s">
        <v>936</v>
      </c>
      <c r="S138" s="33">
        <f>28010.5</f>
        <v>28010.5</v>
      </c>
      <c r="T138" s="30">
        <f>1118</f>
        <v>1118</v>
      </c>
      <c r="U138" s="30" t="str">
        <f>"－"</f>
        <v>－</v>
      </c>
      <c r="V138" s="30">
        <f>31203670</f>
        <v>31203670</v>
      </c>
      <c r="W138" s="30" t="str">
        <f>"－"</f>
        <v>－</v>
      </c>
      <c r="X138" s="34">
        <f>20</f>
        <v>20</v>
      </c>
    </row>
    <row r="139" spans="1:24" x14ac:dyDescent="0.15">
      <c r="A139" s="25" t="s">
        <v>993</v>
      </c>
      <c r="B139" s="25" t="s">
        <v>451</v>
      </c>
      <c r="C139" s="25" t="s">
        <v>452</v>
      </c>
      <c r="D139" s="25" t="s">
        <v>453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6800</f>
        <v>6800</v>
      </c>
      <c r="L139" s="32" t="s">
        <v>904</v>
      </c>
      <c r="M139" s="31">
        <f>6883</f>
        <v>6883</v>
      </c>
      <c r="N139" s="32" t="s">
        <v>811</v>
      </c>
      <c r="O139" s="31">
        <f>6320</f>
        <v>6320</v>
      </c>
      <c r="P139" s="32" t="s">
        <v>266</v>
      </c>
      <c r="Q139" s="31">
        <f>6522</f>
        <v>6522</v>
      </c>
      <c r="R139" s="32" t="s">
        <v>936</v>
      </c>
      <c r="S139" s="33">
        <f>6617.05</f>
        <v>6617.05</v>
      </c>
      <c r="T139" s="30">
        <f>51769</f>
        <v>51769</v>
      </c>
      <c r="U139" s="30">
        <f>20000</f>
        <v>20000</v>
      </c>
      <c r="V139" s="30">
        <f>338896734</f>
        <v>338896734</v>
      </c>
      <c r="W139" s="30">
        <f>128960000</f>
        <v>128960000</v>
      </c>
      <c r="X139" s="34">
        <f>20</f>
        <v>20</v>
      </c>
    </row>
    <row r="140" spans="1:24" x14ac:dyDescent="0.15">
      <c r="A140" s="25" t="s">
        <v>993</v>
      </c>
      <c r="B140" s="25" t="s">
        <v>454</v>
      </c>
      <c r="C140" s="25" t="s">
        <v>455</v>
      </c>
      <c r="D140" s="25" t="s">
        <v>456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15450</f>
        <v>15450</v>
      </c>
      <c r="L140" s="32" t="s">
        <v>904</v>
      </c>
      <c r="M140" s="31">
        <f>15560</f>
        <v>15560</v>
      </c>
      <c r="N140" s="32" t="s">
        <v>936</v>
      </c>
      <c r="O140" s="31">
        <f>14725</f>
        <v>14725</v>
      </c>
      <c r="P140" s="32" t="s">
        <v>915</v>
      </c>
      <c r="Q140" s="31">
        <f>15560</f>
        <v>15560</v>
      </c>
      <c r="R140" s="32" t="s">
        <v>936</v>
      </c>
      <c r="S140" s="33">
        <f>15191.25</f>
        <v>15191.25</v>
      </c>
      <c r="T140" s="30">
        <f>16841</f>
        <v>16841</v>
      </c>
      <c r="U140" s="30">
        <f>4004</f>
        <v>4004</v>
      </c>
      <c r="V140" s="30">
        <f>255205290</f>
        <v>255205290</v>
      </c>
      <c r="W140" s="30">
        <f>59571700</f>
        <v>59571700</v>
      </c>
      <c r="X140" s="34">
        <f>20</f>
        <v>20</v>
      </c>
    </row>
    <row r="141" spans="1:24" x14ac:dyDescent="0.15">
      <c r="A141" s="25" t="s">
        <v>993</v>
      </c>
      <c r="B141" s="25" t="s">
        <v>457</v>
      </c>
      <c r="C141" s="25" t="s">
        <v>458</v>
      </c>
      <c r="D141" s="25" t="s">
        <v>459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43400</f>
        <v>43400</v>
      </c>
      <c r="L141" s="32" t="s">
        <v>904</v>
      </c>
      <c r="M141" s="31">
        <f>44160</f>
        <v>44160</v>
      </c>
      <c r="N141" s="32" t="s">
        <v>812</v>
      </c>
      <c r="O141" s="31">
        <f>42150</f>
        <v>42150</v>
      </c>
      <c r="P141" s="32" t="s">
        <v>695</v>
      </c>
      <c r="Q141" s="31">
        <f>43680</f>
        <v>43680</v>
      </c>
      <c r="R141" s="32" t="s">
        <v>936</v>
      </c>
      <c r="S141" s="33">
        <f>43444</f>
        <v>43444</v>
      </c>
      <c r="T141" s="30">
        <f>9127</f>
        <v>9127</v>
      </c>
      <c r="U141" s="30" t="str">
        <f>"－"</f>
        <v>－</v>
      </c>
      <c r="V141" s="30">
        <f>395056510</f>
        <v>395056510</v>
      </c>
      <c r="W141" s="30" t="str">
        <f>"－"</f>
        <v>－</v>
      </c>
      <c r="X141" s="34">
        <f>20</f>
        <v>20</v>
      </c>
    </row>
    <row r="142" spans="1:24" x14ac:dyDescent="0.15">
      <c r="A142" s="25" t="s">
        <v>993</v>
      </c>
      <c r="B142" s="25" t="s">
        <v>460</v>
      </c>
      <c r="C142" s="25" t="s">
        <v>461</v>
      </c>
      <c r="D142" s="25" t="s">
        <v>462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21140</f>
        <v>21140</v>
      </c>
      <c r="L142" s="32" t="s">
        <v>811</v>
      </c>
      <c r="M142" s="31">
        <f>22050</f>
        <v>22050</v>
      </c>
      <c r="N142" s="32" t="s">
        <v>821</v>
      </c>
      <c r="O142" s="31">
        <f>21060</f>
        <v>21060</v>
      </c>
      <c r="P142" s="32" t="s">
        <v>80</v>
      </c>
      <c r="Q142" s="31">
        <f>21720</f>
        <v>21720</v>
      </c>
      <c r="R142" s="32" t="s">
        <v>936</v>
      </c>
      <c r="S142" s="33">
        <f>21538.95</f>
        <v>21538.95</v>
      </c>
      <c r="T142" s="30">
        <f>874</f>
        <v>874</v>
      </c>
      <c r="U142" s="30" t="str">
        <f>"－"</f>
        <v>－</v>
      </c>
      <c r="V142" s="30">
        <f>18854070</f>
        <v>18854070</v>
      </c>
      <c r="W142" s="30" t="str">
        <f>"－"</f>
        <v>－</v>
      </c>
      <c r="X142" s="34">
        <f>19</f>
        <v>19</v>
      </c>
    </row>
    <row r="143" spans="1:24" x14ac:dyDescent="0.15">
      <c r="A143" s="25" t="s">
        <v>993</v>
      </c>
      <c r="B143" s="25" t="s">
        <v>463</v>
      </c>
      <c r="C143" s="25" t="s">
        <v>464</v>
      </c>
      <c r="D143" s="25" t="s">
        <v>465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8829</f>
        <v>8829</v>
      </c>
      <c r="L143" s="32" t="s">
        <v>904</v>
      </c>
      <c r="M143" s="31">
        <f>8997</f>
        <v>8997</v>
      </c>
      <c r="N143" s="32" t="s">
        <v>821</v>
      </c>
      <c r="O143" s="31">
        <f>8200</f>
        <v>8200</v>
      </c>
      <c r="P143" s="32" t="s">
        <v>915</v>
      </c>
      <c r="Q143" s="31">
        <f>8579</f>
        <v>8579</v>
      </c>
      <c r="R143" s="32" t="s">
        <v>936</v>
      </c>
      <c r="S143" s="33">
        <f>8664.25</f>
        <v>8664.25</v>
      </c>
      <c r="T143" s="30">
        <f>20644</f>
        <v>20644</v>
      </c>
      <c r="U143" s="30" t="str">
        <f>"－"</f>
        <v>－</v>
      </c>
      <c r="V143" s="30">
        <f>176459546</f>
        <v>176459546</v>
      </c>
      <c r="W143" s="30" t="str">
        <f>"－"</f>
        <v>－</v>
      </c>
      <c r="X143" s="34">
        <f>20</f>
        <v>20</v>
      </c>
    </row>
    <row r="144" spans="1:24" x14ac:dyDescent="0.15">
      <c r="A144" s="25" t="s">
        <v>993</v>
      </c>
      <c r="B144" s="25" t="s">
        <v>466</v>
      </c>
      <c r="C144" s="25" t="s">
        <v>467</v>
      </c>
      <c r="D144" s="25" t="s">
        <v>468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15140</f>
        <v>15140</v>
      </c>
      <c r="L144" s="32" t="s">
        <v>904</v>
      </c>
      <c r="M144" s="31">
        <f>15385</f>
        <v>15385</v>
      </c>
      <c r="N144" s="32" t="s">
        <v>821</v>
      </c>
      <c r="O144" s="31">
        <f>14395</f>
        <v>14395</v>
      </c>
      <c r="P144" s="32" t="s">
        <v>915</v>
      </c>
      <c r="Q144" s="31">
        <f>14805</f>
        <v>14805</v>
      </c>
      <c r="R144" s="32" t="s">
        <v>936</v>
      </c>
      <c r="S144" s="33">
        <f>14907.25</f>
        <v>14907.25</v>
      </c>
      <c r="T144" s="30">
        <f>1576</f>
        <v>1576</v>
      </c>
      <c r="U144" s="30" t="str">
        <f>"－"</f>
        <v>－</v>
      </c>
      <c r="V144" s="30">
        <f>23500120</f>
        <v>23500120</v>
      </c>
      <c r="W144" s="30" t="str">
        <f>"－"</f>
        <v>－</v>
      </c>
      <c r="X144" s="34">
        <f>20</f>
        <v>20</v>
      </c>
    </row>
    <row r="145" spans="1:24" x14ac:dyDescent="0.15">
      <c r="A145" s="25" t="s">
        <v>993</v>
      </c>
      <c r="B145" s="25" t="s">
        <v>469</v>
      </c>
      <c r="C145" s="25" t="s">
        <v>470</v>
      </c>
      <c r="D145" s="25" t="s">
        <v>471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31620</f>
        <v>31620</v>
      </c>
      <c r="L145" s="32" t="s">
        <v>904</v>
      </c>
      <c r="M145" s="31">
        <f>31620</f>
        <v>31620</v>
      </c>
      <c r="N145" s="32" t="s">
        <v>904</v>
      </c>
      <c r="O145" s="31">
        <f>29300</f>
        <v>29300</v>
      </c>
      <c r="P145" s="32" t="s">
        <v>915</v>
      </c>
      <c r="Q145" s="31">
        <f>30770</f>
        <v>30770</v>
      </c>
      <c r="R145" s="32" t="s">
        <v>936</v>
      </c>
      <c r="S145" s="33">
        <f>30406.5</f>
        <v>30406.5</v>
      </c>
      <c r="T145" s="30">
        <f>1199</f>
        <v>1199</v>
      </c>
      <c r="U145" s="30" t="str">
        <f>"－"</f>
        <v>－</v>
      </c>
      <c r="V145" s="30">
        <f>36521735</f>
        <v>36521735</v>
      </c>
      <c r="W145" s="30" t="str">
        <f>"－"</f>
        <v>－</v>
      </c>
      <c r="X145" s="34">
        <f>20</f>
        <v>20</v>
      </c>
    </row>
    <row r="146" spans="1:24" x14ac:dyDescent="0.15">
      <c r="A146" s="25" t="s">
        <v>993</v>
      </c>
      <c r="B146" s="25" t="s">
        <v>472</v>
      </c>
      <c r="C146" s="25" t="s">
        <v>473</v>
      </c>
      <c r="D146" s="25" t="s">
        <v>474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1206</f>
        <v>1206</v>
      </c>
      <c r="L146" s="32" t="s">
        <v>904</v>
      </c>
      <c r="M146" s="31">
        <f>1250</f>
        <v>1250</v>
      </c>
      <c r="N146" s="32" t="s">
        <v>94</v>
      </c>
      <c r="O146" s="31">
        <f>1182</f>
        <v>1182</v>
      </c>
      <c r="P146" s="32" t="s">
        <v>80</v>
      </c>
      <c r="Q146" s="31">
        <f>1220</f>
        <v>1220</v>
      </c>
      <c r="R146" s="32" t="s">
        <v>936</v>
      </c>
      <c r="S146" s="33">
        <f>1216.35</f>
        <v>1216.3499999999999</v>
      </c>
      <c r="T146" s="30">
        <f>336240</f>
        <v>336240</v>
      </c>
      <c r="U146" s="30">
        <f>74500</f>
        <v>74500</v>
      </c>
      <c r="V146" s="30">
        <f>407834668</f>
        <v>407834668</v>
      </c>
      <c r="W146" s="30">
        <f>89474158</f>
        <v>89474158</v>
      </c>
      <c r="X146" s="34">
        <f>20</f>
        <v>20</v>
      </c>
    </row>
    <row r="147" spans="1:24" x14ac:dyDescent="0.15">
      <c r="A147" s="25" t="s">
        <v>993</v>
      </c>
      <c r="B147" s="25" t="s">
        <v>475</v>
      </c>
      <c r="C147" s="25" t="s">
        <v>476</v>
      </c>
      <c r="D147" s="25" t="s">
        <v>477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2216</f>
        <v>2216</v>
      </c>
      <c r="L147" s="32" t="s">
        <v>904</v>
      </c>
      <c r="M147" s="31">
        <f>2327</f>
        <v>2327</v>
      </c>
      <c r="N147" s="32" t="s">
        <v>936</v>
      </c>
      <c r="O147" s="31">
        <f>2216</f>
        <v>2216</v>
      </c>
      <c r="P147" s="32" t="s">
        <v>904</v>
      </c>
      <c r="Q147" s="31">
        <f>2327</f>
        <v>2327</v>
      </c>
      <c r="R147" s="32" t="s">
        <v>936</v>
      </c>
      <c r="S147" s="33">
        <f>2266.79</f>
        <v>2266.79</v>
      </c>
      <c r="T147" s="30">
        <f>210</f>
        <v>210</v>
      </c>
      <c r="U147" s="30" t="str">
        <f>"－"</f>
        <v>－</v>
      </c>
      <c r="V147" s="30">
        <f>471905</f>
        <v>471905</v>
      </c>
      <c r="W147" s="30" t="str">
        <f>"－"</f>
        <v>－</v>
      </c>
      <c r="X147" s="34">
        <f>7</f>
        <v>7</v>
      </c>
    </row>
    <row r="148" spans="1:24" x14ac:dyDescent="0.15">
      <c r="A148" s="25" t="s">
        <v>993</v>
      </c>
      <c r="B148" s="25" t="s">
        <v>478</v>
      </c>
      <c r="C148" s="25" t="s">
        <v>479</v>
      </c>
      <c r="D148" s="25" t="s">
        <v>480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2429.5</f>
        <v>2429.5</v>
      </c>
      <c r="L148" s="32" t="s">
        <v>904</v>
      </c>
      <c r="M148" s="31">
        <f>2514</f>
        <v>2514</v>
      </c>
      <c r="N148" s="32" t="s">
        <v>908</v>
      </c>
      <c r="O148" s="31">
        <f>2384</f>
        <v>2384</v>
      </c>
      <c r="P148" s="32" t="s">
        <v>70</v>
      </c>
      <c r="Q148" s="31">
        <f>2490.5</f>
        <v>2490.5</v>
      </c>
      <c r="R148" s="32" t="s">
        <v>936</v>
      </c>
      <c r="S148" s="33">
        <f>2450.53</f>
        <v>2450.5300000000002</v>
      </c>
      <c r="T148" s="30">
        <f>67200</f>
        <v>67200</v>
      </c>
      <c r="U148" s="30" t="str">
        <f>"－"</f>
        <v>－</v>
      </c>
      <c r="V148" s="30">
        <f>165751230</f>
        <v>165751230</v>
      </c>
      <c r="W148" s="30" t="str">
        <f>"－"</f>
        <v>－</v>
      </c>
      <c r="X148" s="34">
        <f>15</f>
        <v>15</v>
      </c>
    </row>
    <row r="149" spans="1:24" x14ac:dyDescent="0.15">
      <c r="A149" s="25" t="s">
        <v>993</v>
      </c>
      <c r="B149" s="25" t="s">
        <v>481</v>
      </c>
      <c r="C149" s="25" t="s">
        <v>482</v>
      </c>
      <c r="D149" s="25" t="s">
        <v>483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1506</f>
        <v>1506</v>
      </c>
      <c r="L149" s="32" t="s">
        <v>904</v>
      </c>
      <c r="M149" s="31">
        <f>1538</f>
        <v>1538</v>
      </c>
      <c r="N149" s="32" t="s">
        <v>66</v>
      </c>
      <c r="O149" s="31">
        <f>1470.5</f>
        <v>1470.5</v>
      </c>
      <c r="P149" s="32" t="s">
        <v>70</v>
      </c>
      <c r="Q149" s="31">
        <f>1538</f>
        <v>1538</v>
      </c>
      <c r="R149" s="32" t="s">
        <v>815</v>
      </c>
      <c r="S149" s="33">
        <f>1504.94</f>
        <v>1504.94</v>
      </c>
      <c r="T149" s="30">
        <f>350</f>
        <v>350</v>
      </c>
      <c r="U149" s="30" t="str">
        <f>"－"</f>
        <v>－</v>
      </c>
      <c r="V149" s="30">
        <f>526215</f>
        <v>526215</v>
      </c>
      <c r="W149" s="30" t="str">
        <f>"－"</f>
        <v>－</v>
      </c>
      <c r="X149" s="34">
        <f>9</f>
        <v>9</v>
      </c>
    </row>
    <row r="150" spans="1:24" x14ac:dyDescent="0.15">
      <c r="A150" s="25" t="s">
        <v>993</v>
      </c>
      <c r="B150" s="25" t="s">
        <v>484</v>
      </c>
      <c r="C150" s="25" t="s">
        <v>485</v>
      </c>
      <c r="D150" s="25" t="s">
        <v>486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371</f>
        <v>371</v>
      </c>
      <c r="L150" s="32" t="s">
        <v>904</v>
      </c>
      <c r="M150" s="31">
        <f>397.6</f>
        <v>397.6</v>
      </c>
      <c r="N150" s="32" t="s">
        <v>936</v>
      </c>
      <c r="O150" s="31">
        <f>364</f>
        <v>364</v>
      </c>
      <c r="P150" s="32" t="s">
        <v>904</v>
      </c>
      <c r="Q150" s="31">
        <f>393.7</f>
        <v>393.7</v>
      </c>
      <c r="R150" s="32" t="s">
        <v>936</v>
      </c>
      <c r="S150" s="33">
        <f>383.31</f>
        <v>383.31</v>
      </c>
      <c r="T150" s="30">
        <f>47015660</f>
        <v>47015660</v>
      </c>
      <c r="U150" s="30">
        <f>327160</f>
        <v>327160</v>
      </c>
      <c r="V150" s="30">
        <f>18062620694</f>
        <v>18062620694</v>
      </c>
      <c r="W150" s="30">
        <f>124209135</f>
        <v>124209135</v>
      </c>
      <c r="X150" s="34">
        <f>20</f>
        <v>20</v>
      </c>
    </row>
    <row r="151" spans="1:24" x14ac:dyDescent="0.15">
      <c r="A151" s="25" t="s">
        <v>993</v>
      </c>
      <c r="B151" s="25" t="s">
        <v>487</v>
      </c>
      <c r="C151" s="25" t="s">
        <v>488</v>
      </c>
      <c r="D151" s="25" t="s">
        <v>489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2854</f>
        <v>2854</v>
      </c>
      <c r="L151" s="32" t="s">
        <v>904</v>
      </c>
      <c r="M151" s="31">
        <f>2936</f>
        <v>2936</v>
      </c>
      <c r="N151" s="32" t="s">
        <v>915</v>
      </c>
      <c r="O151" s="31">
        <f>2837</f>
        <v>2837</v>
      </c>
      <c r="P151" s="32" t="s">
        <v>821</v>
      </c>
      <c r="Q151" s="31">
        <f>2880</f>
        <v>2880</v>
      </c>
      <c r="R151" s="32" t="s">
        <v>936</v>
      </c>
      <c r="S151" s="33">
        <f>2894.7</f>
        <v>2894.7</v>
      </c>
      <c r="T151" s="30">
        <f>3157437</f>
        <v>3157437</v>
      </c>
      <c r="U151" s="30">
        <f>2464284</f>
        <v>2464284</v>
      </c>
      <c r="V151" s="30">
        <f>9146024575</f>
        <v>9146024575</v>
      </c>
      <c r="W151" s="30">
        <f>7130276692</f>
        <v>7130276692</v>
      </c>
      <c r="X151" s="34">
        <f>20</f>
        <v>20</v>
      </c>
    </row>
    <row r="152" spans="1:24" x14ac:dyDescent="0.15">
      <c r="A152" s="25" t="s">
        <v>993</v>
      </c>
      <c r="B152" s="25" t="s">
        <v>490</v>
      </c>
      <c r="C152" s="25" t="s">
        <v>491</v>
      </c>
      <c r="D152" s="25" t="s">
        <v>492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3240</f>
        <v>3240</v>
      </c>
      <c r="L152" s="32" t="s">
        <v>904</v>
      </c>
      <c r="M152" s="31">
        <f>3430</f>
        <v>3430</v>
      </c>
      <c r="N152" s="32" t="s">
        <v>936</v>
      </c>
      <c r="O152" s="31">
        <f>3170</f>
        <v>3170</v>
      </c>
      <c r="P152" s="32" t="s">
        <v>904</v>
      </c>
      <c r="Q152" s="31">
        <f>3400</f>
        <v>3400</v>
      </c>
      <c r="R152" s="32" t="s">
        <v>936</v>
      </c>
      <c r="S152" s="33">
        <f>3311</f>
        <v>3311</v>
      </c>
      <c r="T152" s="30">
        <f>110575</f>
        <v>110575</v>
      </c>
      <c r="U152" s="30">
        <f>32250</f>
        <v>32250</v>
      </c>
      <c r="V152" s="30">
        <f>365295408</f>
        <v>365295408</v>
      </c>
      <c r="W152" s="30">
        <f>105299348</f>
        <v>105299348</v>
      </c>
      <c r="X152" s="34">
        <f>20</f>
        <v>20</v>
      </c>
    </row>
    <row r="153" spans="1:24" x14ac:dyDescent="0.15">
      <c r="A153" s="25" t="s">
        <v>993</v>
      </c>
      <c r="B153" s="25" t="s">
        <v>493</v>
      </c>
      <c r="C153" s="25" t="s">
        <v>494</v>
      </c>
      <c r="D153" s="25" t="s">
        <v>495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2270</f>
        <v>2270</v>
      </c>
      <c r="L153" s="32" t="s">
        <v>904</v>
      </c>
      <c r="M153" s="31">
        <f>2276</f>
        <v>2276</v>
      </c>
      <c r="N153" s="32" t="s">
        <v>87</v>
      </c>
      <c r="O153" s="31">
        <f>2180</f>
        <v>2180</v>
      </c>
      <c r="P153" s="32" t="s">
        <v>80</v>
      </c>
      <c r="Q153" s="31">
        <f>2195</f>
        <v>2195</v>
      </c>
      <c r="R153" s="32" t="s">
        <v>936</v>
      </c>
      <c r="S153" s="33">
        <f>2224.25</f>
        <v>2224.25</v>
      </c>
      <c r="T153" s="30">
        <f>111683</f>
        <v>111683</v>
      </c>
      <c r="U153" s="30" t="str">
        <f>"－"</f>
        <v>－</v>
      </c>
      <c r="V153" s="30">
        <f>248625684</f>
        <v>248625684</v>
      </c>
      <c r="W153" s="30" t="str">
        <f>"－"</f>
        <v>－</v>
      </c>
      <c r="X153" s="34">
        <f>20</f>
        <v>20</v>
      </c>
    </row>
    <row r="154" spans="1:24" x14ac:dyDescent="0.15">
      <c r="A154" s="25" t="s">
        <v>993</v>
      </c>
      <c r="B154" s="25" t="s">
        <v>496</v>
      </c>
      <c r="C154" s="25" t="s">
        <v>497</v>
      </c>
      <c r="D154" s="25" t="s">
        <v>498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2697</f>
        <v>2697</v>
      </c>
      <c r="L154" s="32" t="s">
        <v>904</v>
      </c>
      <c r="M154" s="31">
        <f>2888</f>
        <v>2888</v>
      </c>
      <c r="N154" s="32" t="s">
        <v>936</v>
      </c>
      <c r="O154" s="31">
        <f>2648</f>
        <v>2648</v>
      </c>
      <c r="P154" s="32" t="s">
        <v>904</v>
      </c>
      <c r="Q154" s="31">
        <f>2865</f>
        <v>2865</v>
      </c>
      <c r="R154" s="32" t="s">
        <v>936</v>
      </c>
      <c r="S154" s="33">
        <f>2764.1</f>
        <v>2764.1</v>
      </c>
      <c r="T154" s="30">
        <f>485962</f>
        <v>485962</v>
      </c>
      <c r="U154" s="30">
        <f>345050</f>
        <v>345050</v>
      </c>
      <c r="V154" s="30">
        <f>1386520690</f>
        <v>1386520690</v>
      </c>
      <c r="W154" s="30">
        <f>995094973</f>
        <v>995094973</v>
      </c>
      <c r="X154" s="34">
        <f>20</f>
        <v>20</v>
      </c>
    </row>
    <row r="155" spans="1:24" x14ac:dyDescent="0.15">
      <c r="A155" s="25" t="s">
        <v>993</v>
      </c>
      <c r="B155" s="25" t="s">
        <v>499</v>
      </c>
      <c r="C155" s="25" t="s">
        <v>500</v>
      </c>
      <c r="D155" s="25" t="s">
        <v>501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11230</f>
        <v>11230</v>
      </c>
      <c r="L155" s="32" t="s">
        <v>904</v>
      </c>
      <c r="M155" s="31">
        <f>11380</f>
        <v>11380</v>
      </c>
      <c r="N155" s="32" t="s">
        <v>936</v>
      </c>
      <c r="O155" s="31">
        <f>10960</f>
        <v>10960</v>
      </c>
      <c r="P155" s="32" t="s">
        <v>912</v>
      </c>
      <c r="Q155" s="31">
        <f>11380</f>
        <v>11380</v>
      </c>
      <c r="R155" s="32" t="s">
        <v>936</v>
      </c>
      <c r="S155" s="33">
        <f>11145.25</f>
        <v>11145.25</v>
      </c>
      <c r="T155" s="30">
        <f>92428</f>
        <v>92428</v>
      </c>
      <c r="U155" s="30">
        <f>63555</f>
        <v>63555</v>
      </c>
      <c r="V155" s="30">
        <f>1029377307</f>
        <v>1029377307</v>
      </c>
      <c r="W155" s="30">
        <f>707712012</f>
        <v>707712012</v>
      </c>
      <c r="X155" s="34">
        <f>20</f>
        <v>20</v>
      </c>
    </row>
    <row r="156" spans="1:24" x14ac:dyDescent="0.15">
      <c r="A156" s="25" t="s">
        <v>993</v>
      </c>
      <c r="B156" s="25" t="s">
        <v>502</v>
      </c>
      <c r="C156" s="25" t="s">
        <v>503</v>
      </c>
      <c r="D156" s="25" t="s">
        <v>504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3170</f>
        <v>3170</v>
      </c>
      <c r="L156" s="32" t="s">
        <v>904</v>
      </c>
      <c r="M156" s="31">
        <f>3320</f>
        <v>3320</v>
      </c>
      <c r="N156" s="32" t="s">
        <v>810</v>
      </c>
      <c r="O156" s="31">
        <f>2834</f>
        <v>2834</v>
      </c>
      <c r="P156" s="32" t="s">
        <v>56</v>
      </c>
      <c r="Q156" s="31">
        <f>2926</f>
        <v>2926</v>
      </c>
      <c r="R156" s="32" t="s">
        <v>936</v>
      </c>
      <c r="S156" s="33">
        <f>3022.2</f>
        <v>3022.2</v>
      </c>
      <c r="T156" s="30">
        <f>12751850</f>
        <v>12751850</v>
      </c>
      <c r="U156" s="30">
        <f>5058</f>
        <v>5058</v>
      </c>
      <c r="V156" s="30">
        <f>38179653629</f>
        <v>38179653629</v>
      </c>
      <c r="W156" s="30">
        <f>15476447</f>
        <v>15476447</v>
      </c>
      <c r="X156" s="34">
        <f>20</f>
        <v>20</v>
      </c>
    </row>
    <row r="157" spans="1:24" x14ac:dyDescent="0.15">
      <c r="A157" s="25" t="s">
        <v>993</v>
      </c>
      <c r="B157" s="25" t="s">
        <v>505</v>
      </c>
      <c r="C157" s="25" t="s">
        <v>506</v>
      </c>
      <c r="D157" s="25" t="s">
        <v>507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23180</f>
        <v>23180</v>
      </c>
      <c r="L157" s="32" t="s">
        <v>904</v>
      </c>
      <c r="M157" s="31">
        <f>23305</f>
        <v>23305</v>
      </c>
      <c r="N157" s="32" t="s">
        <v>810</v>
      </c>
      <c r="O157" s="31">
        <f>22020</f>
        <v>22020</v>
      </c>
      <c r="P157" s="32" t="s">
        <v>66</v>
      </c>
      <c r="Q157" s="31">
        <f>22100</f>
        <v>22100</v>
      </c>
      <c r="R157" s="32" t="s">
        <v>936</v>
      </c>
      <c r="S157" s="33">
        <f>22400.25</f>
        <v>22400.25</v>
      </c>
      <c r="T157" s="30">
        <f>4758</f>
        <v>4758</v>
      </c>
      <c r="U157" s="30" t="str">
        <f>"－"</f>
        <v>－</v>
      </c>
      <c r="V157" s="30">
        <f>106703570</f>
        <v>106703570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993</v>
      </c>
      <c r="B158" s="25" t="s">
        <v>508</v>
      </c>
      <c r="C158" s="25" t="s">
        <v>509</v>
      </c>
      <c r="D158" s="25" t="s">
        <v>510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2572.5</f>
        <v>2572.5</v>
      </c>
      <c r="L158" s="32" t="s">
        <v>904</v>
      </c>
      <c r="M158" s="31">
        <f>2572.5</f>
        <v>2572.5</v>
      </c>
      <c r="N158" s="32" t="s">
        <v>904</v>
      </c>
      <c r="O158" s="31">
        <f>2335.5</f>
        <v>2335.5</v>
      </c>
      <c r="P158" s="32" t="s">
        <v>812</v>
      </c>
      <c r="Q158" s="31">
        <f>2486</f>
        <v>2486</v>
      </c>
      <c r="R158" s="32" t="s">
        <v>936</v>
      </c>
      <c r="S158" s="33">
        <f>2420.85</f>
        <v>2420.85</v>
      </c>
      <c r="T158" s="30">
        <f>36160</f>
        <v>36160</v>
      </c>
      <c r="U158" s="30" t="str">
        <f>"－"</f>
        <v>－</v>
      </c>
      <c r="V158" s="30">
        <f>87988435</f>
        <v>87988435</v>
      </c>
      <c r="W158" s="30" t="str">
        <f>"－"</f>
        <v>－</v>
      </c>
      <c r="X158" s="34">
        <f>20</f>
        <v>20</v>
      </c>
    </row>
    <row r="159" spans="1:24" x14ac:dyDescent="0.15">
      <c r="A159" s="25" t="s">
        <v>993</v>
      </c>
      <c r="B159" s="25" t="s">
        <v>511</v>
      </c>
      <c r="C159" s="25" t="s">
        <v>512</v>
      </c>
      <c r="D159" s="25" t="s">
        <v>513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11475</f>
        <v>11475</v>
      </c>
      <c r="L159" s="32" t="s">
        <v>904</v>
      </c>
      <c r="M159" s="31">
        <f>11475</f>
        <v>11475</v>
      </c>
      <c r="N159" s="32" t="s">
        <v>904</v>
      </c>
      <c r="O159" s="31">
        <f>10670</f>
        <v>10670</v>
      </c>
      <c r="P159" s="32" t="s">
        <v>56</v>
      </c>
      <c r="Q159" s="31">
        <f>11010</f>
        <v>11010</v>
      </c>
      <c r="R159" s="32" t="s">
        <v>936</v>
      </c>
      <c r="S159" s="33">
        <f>11084</f>
        <v>11084</v>
      </c>
      <c r="T159" s="30">
        <f>4744</f>
        <v>4744</v>
      </c>
      <c r="U159" s="30" t="str">
        <f>"－"</f>
        <v>－</v>
      </c>
      <c r="V159" s="30">
        <f>52652045</f>
        <v>52652045</v>
      </c>
      <c r="W159" s="30" t="str">
        <f>"－"</f>
        <v>－</v>
      </c>
      <c r="X159" s="34">
        <f>20</f>
        <v>20</v>
      </c>
    </row>
    <row r="160" spans="1:24" x14ac:dyDescent="0.15">
      <c r="A160" s="25" t="s">
        <v>993</v>
      </c>
      <c r="B160" s="25" t="s">
        <v>514</v>
      </c>
      <c r="C160" s="25" t="s">
        <v>515</v>
      </c>
      <c r="D160" s="25" t="s">
        <v>516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24300</f>
        <v>24300</v>
      </c>
      <c r="L160" s="32" t="s">
        <v>904</v>
      </c>
      <c r="M160" s="31">
        <f>27195</f>
        <v>27195</v>
      </c>
      <c r="N160" s="32" t="s">
        <v>813</v>
      </c>
      <c r="O160" s="31">
        <f>23450</f>
        <v>23450</v>
      </c>
      <c r="P160" s="32" t="s">
        <v>904</v>
      </c>
      <c r="Q160" s="31">
        <f>25555</f>
        <v>25555</v>
      </c>
      <c r="R160" s="32" t="s">
        <v>936</v>
      </c>
      <c r="S160" s="33">
        <f>24711.25</f>
        <v>24711.25</v>
      </c>
      <c r="T160" s="30">
        <f>2645</f>
        <v>2645</v>
      </c>
      <c r="U160" s="30" t="str">
        <f>"－"</f>
        <v>－</v>
      </c>
      <c r="V160" s="30">
        <f>67323065</f>
        <v>67323065</v>
      </c>
      <c r="W160" s="30" t="str">
        <f>"－"</f>
        <v>－</v>
      </c>
      <c r="X160" s="34">
        <f>20</f>
        <v>20</v>
      </c>
    </row>
    <row r="161" spans="1:24" x14ac:dyDescent="0.15">
      <c r="A161" s="25" t="s">
        <v>993</v>
      </c>
      <c r="B161" s="25" t="s">
        <v>517</v>
      </c>
      <c r="C161" s="25" t="s">
        <v>518</v>
      </c>
      <c r="D161" s="25" t="s">
        <v>519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18880</f>
        <v>18880</v>
      </c>
      <c r="L161" s="32" t="s">
        <v>904</v>
      </c>
      <c r="M161" s="31">
        <f>18925</f>
        <v>18925</v>
      </c>
      <c r="N161" s="32" t="s">
        <v>912</v>
      </c>
      <c r="O161" s="31">
        <f>17480</f>
        <v>17480</v>
      </c>
      <c r="P161" s="32" t="s">
        <v>87</v>
      </c>
      <c r="Q161" s="31">
        <f>18230</f>
        <v>18230</v>
      </c>
      <c r="R161" s="32" t="s">
        <v>94</v>
      </c>
      <c r="S161" s="33">
        <f>18220</f>
        <v>18220</v>
      </c>
      <c r="T161" s="30">
        <f>185</f>
        <v>185</v>
      </c>
      <c r="U161" s="30" t="str">
        <f>"－"</f>
        <v>－</v>
      </c>
      <c r="V161" s="30">
        <f>3321750</f>
        <v>3321750</v>
      </c>
      <c r="W161" s="30" t="str">
        <f>"－"</f>
        <v>－</v>
      </c>
      <c r="X161" s="34">
        <f>15</f>
        <v>15</v>
      </c>
    </row>
    <row r="162" spans="1:24" x14ac:dyDescent="0.15">
      <c r="A162" s="25" t="s">
        <v>993</v>
      </c>
      <c r="B162" s="25" t="s">
        <v>520</v>
      </c>
      <c r="C162" s="25" t="s">
        <v>521</v>
      </c>
      <c r="D162" s="25" t="s">
        <v>522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52360</f>
        <v>52360</v>
      </c>
      <c r="L162" s="32" t="s">
        <v>904</v>
      </c>
      <c r="M162" s="31">
        <f>52840</f>
        <v>52840</v>
      </c>
      <c r="N162" s="32" t="s">
        <v>266</v>
      </c>
      <c r="O162" s="31">
        <f>51620</f>
        <v>51620</v>
      </c>
      <c r="P162" s="32" t="s">
        <v>912</v>
      </c>
      <c r="Q162" s="31">
        <f>52000</f>
        <v>52000</v>
      </c>
      <c r="R162" s="32" t="s">
        <v>936</v>
      </c>
      <c r="S162" s="33">
        <f>52355.5</f>
        <v>52355.5</v>
      </c>
      <c r="T162" s="30">
        <f>11870</f>
        <v>11870</v>
      </c>
      <c r="U162" s="30">
        <f>4410</f>
        <v>4410</v>
      </c>
      <c r="V162" s="30">
        <f>622920829</f>
        <v>622920829</v>
      </c>
      <c r="W162" s="30">
        <f>231527129</f>
        <v>231527129</v>
      </c>
      <c r="X162" s="34">
        <f>20</f>
        <v>20</v>
      </c>
    </row>
    <row r="163" spans="1:24" x14ac:dyDescent="0.15">
      <c r="A163" s="25" t="s">
        <v>993</v>
      </c>
      <c r="B163" s="25" t="s">
        <v>523</v>
      </c>
      <c r="C163" s="25" t="s">
        <v>524</v>
      </c>
      <c r="D163" s="25" t="s">
        <v>525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239.1</f>
        <v>239.1</v>
      </c>
      <c r="L163" s="32" t="s">
        <v>904</v>
      </c>
      <c r="M163" s="31">
        <f>255.7</f>
        <v>255.7</v>
      </c>
      <c r="N163" s="32" t="s">
        <v>936</v>
      </c>
      <c r="O163" s="31">
        <f>235.2</f>
        <v>235.2</v>
      </c>
      <c r="P163" s="32" t="s">
        <v>904</v>
      </c>
      <c r="Q163" s="31">
        <f>253.2</f>
        <v>253.2</v>
      </c>
      <c r="R163" s="32" t="s">
        <v>936</v>
      </c>
      <c r="S163" s="33">
        <f>246.67</f>
        <v>246.67</v>
      </c>
      <c r="T163" s="30">
        <f>7683200</f>
        <v>7683200</v>
      </c>
      <c r="U163" s="30">
        <f>1400</f>
        <v>1400</v>
      </c>
      <c r="V163" s="30">
        <f>1893954870</f>
        <v>1893954870</v>
      </c>
      <c r="W163" s="30">
        <f>348990</f>
        <v>348990</v>
      </c>
      <c r="X163" s="34">
        <f>20</f>
        <v>20</v>
      </c>
    </row>
    <row r="164" spans="1:24" x14ac:dyDescent="0.15">
      <c r="A164" s="25" t="s">
        <v>993</v>
      </c>
      <c r="B164" s="25" t="s">
        <v>526</v>
      </c>
      <c r="C164" s="25" t="s">
        <v>527</v>
      </c>
      <c r="D164" s="25" t="s">
        <v>528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36100</f>
        <v>36100</v>
      </c>
      <c r="L164" s="32" t="s">
        <v>904</v>
      </c>
      <c r="M164" s="31">
        <f>38300</f>
        <v>38300</v>
      </c>
      <c r="N164" s="32" t="s">
        <v>87</v>
      </c>
      <c r="O164" s="31">
        <f>35720</f>
        <v>35720</v>
      </c>
      <c r="P164" s="32" t="s">
        <v>904</v>
      </c>
      <c r="Q164" s="31">
        <f>37520</f>
        <v>37520</v>
      </c>
      <c r="R164" s="32" t="s">
        <v>936</v>
      </c>
      <c r="S164" s="33">
        <f>37189</f>
        <v>37189</v>
      </c>
      <c r="T164" s="30">
        <f>11500</f>
        <v>11500</v>
      </c>
      <c r="U164" s="30">
        <f>3780</f>
        <v>3780</v>
      </c>
      <c r="V164" s="30">
        <f>426984350</f>
        <v>426984350</v>
      </c>
      <c r="W164" s="30">
        <f>140752050</f>
        <v>140752050</v>
      </c>
      <c r="X164" s="34">
        <f>20</f>
        <v>20</v>
      </c>
    </row>
    <row r="165" spans="1:24" x14ac:dyDescent="0.15">
      <c r="A165" s="25" t="s">
        <v>993</v>
      </c>
      <c r="B165" s="25" t="s">
        <v>529</v>
      </c>
      <c r="C165" s="25" t="s">
        <v>530</v>
      </c>
      <c r="D165" s="25" t="s">
        <v>531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3670</f>
        <v>3670</v>
      </c>
      <c r="L165" s="32" t="s">
        <v>904</v>
      </c>
      <c r="M165" s="31">
        <f>3902</f>
        <v>3902</v>
      </c>
      <c r="N165" s="32" t="s">
        <v>936</v>
      </c>
      <c r="O165" s="31">
        <f>3611</f>
        <v>3611</v>
      </c>
      <c r="P165" s="32" t="s">
        <v>904</v>
      </c>
      <c r="Q165" s="31">
        <f>3857</f>
        <v>3857</v>
      </c>
      <c r="R165" s="32" t="s">
        <v>936</v>
      </c>
      <c r="S165" s="33">
        <f>3773.5</f>
        <v>3773.5</v>
      </c>
      <c r="T165" s="30">
        <f>54940</f>
        <v>54940</v>
      </c>
      <c r="U165" s="30">
        <f>10</f>
        <v>10</v>
      </c>
      <c r="V165" s="30">
        <f>209037810</f>
        <v>209037810</v>
      </c>
      <c r="W165" s="30">
        <f>37290</f>
        <v>37290</v>
      </c>
      <c r="X165" s="34">
        <f>20</f>
        <v>20</v>
      </c>
    </row>
    <row r="166" spans="1:24" x14ac:dyDescent="0.15">
      <c r="A166" s="25" t="s">
        <v>993</v>
      </c>
      <c r="B166" s="25" t="s">
        <v>532</v>
      </c>
      <c r="C166" s="25" t="s">
        <v>533</v>
      </c>
      <c r="D166" s="25" t="s">
        <v>534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1738.5</f>
        <v>1738.5</v>
      </c>
      <c r="L166" s="32" t="s">
        <v>904</v>
      </c>
      <c r="M166" s="31">
        <f>1740</f>
        <v>1740</v>
      </c>
      <c r="N166" s="32" t="s">
        <v>904</v>
      </c>
      <c r="O166" s="31">
        <f>1669</f>
        <v>1669</v>
      </c>
      <c r="P166" s="32" t="s">
        <v>80</v>
      </c>
      <c r="Q166" s="31">
        <f>1678</f>
        <v>1678</v>
      </c>
      <c r="R166" s="32" t="s">
        <v>936</v>
      </c>
      <c r="S166" s="33">
        <f>1700.83</f>
        <v>1700.83</v>
      </c>
      <c r="T166" s="30">
        <f>89900</f>
        <v>89900</v>
      </c>
      <c r="U166" s="30" t="str">
        <f t="shared" ref="U166:U172" si="4">"－"</f>
        <v>－</v>
      </c>
      <c r="V166" s="30">
        <f>153269150</f>
        <v>153269150</v>
      </c>
      <c r="W166" s="30" t="str">
        <f t="shared" ref="W166:W172" si="5">"－"</f>
        <v>－</v>
      </c>
      <c r="X166" s="34">
        <f>20</f>
        <v>20</v>
      </c>
    </row>
    <row r="167" spans="1:24" x14ac:dyDescent="0.15">
      <c r="A167" s="25" t="s">
        <v>993</v>
      </c>
      <c r="B167" s="25" t="s">
        <v>535</v>
      </c>
      <c r="C167" s="25" t="s">
        <v>536</v>
      </c>
      <c r="D167" s="25" t="s">
        <v>537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100</v>
      </c>
      <c r="K167" s="31">
        <f>210.5</f>
        <v>210.5</v>
      </c>
      <c r="L167" s="32" t="s">
        <v>904</v>
      </c>
      <c r="M167" s="31">
        <f>210.5</f>
        <v>210.5</v>
      </c>
      <c r="N167" s="32" t="s">
        <v>904</v>
      </c>
      <c r="O167" s="31">
        <f>196.9</f>
        <v>196.9</v>
      </c>
      <c r="P167" s="32" t="s">
        <v>56</v>
      </c>
      <c r="Q167" s="31">
        <f>203</f>
        <v>203</v>
      </c>
      <c r="R167" s="32" t="s">
        <v>936</v>
      </c>
      <c r="S167" s="33">
        <f>202.57</f>
        <v>202.57</v>
      </c>
      <c r="T167" s="30">
        <f>194000</f>
        <v>194000</v>
      </c>
      <c r="U167" s="30" t="str">
        <f t="shared" si="4"/>
        <v>－</v>
      </c>
      <c r="V167" s="30">
        <f>39141360</f>
        <v>39141360</v>
      </c>
      <c r="W167" s="30" t="str">
        <f t="shared" si="5"/>
        <v>－</v>
      </c>
      <c r="X167" s="34">
        <f>20</f>
        <v>20</v>
      </c>
    </row>
    <row r="168" spans="1:24" x14ac:dyDescent="0.15">
      <c r="A168" s="25" t="s">
        <v>993</v>
      </c>
      <c r="B168" s="25" t="s">
        <v>538</v>
      </c>
      <c r="C168" s="25" t="s">
        <v>539</v>
      </c>
      <c r="D168" s="25" t="s">
        <v>540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1680</f>
        <v>1680</v>
      </c>
      <c r="L168" s="32" t="s">
        <v>904</v>
      </c>
      <c r="M168" s="31">
        <f>1699</f>
        <v>1699</v>
      </c>
      <c r="N168" s="32" t="s">
        <v>66</v>
      </c>
      <c r="O168" s="31">
        <f>1527</f>
        <v>1527</v>
      </c>
      <c r="P168" s="32" t="s">
        <v>70</v>
      </c>
      <c r="Q168" s="31">
        <f>1631</f>
        <v>1631</v>
      </c>
      <c r="R168" s="32" t="s">
        <v>936</v>
      </c>
      <c r="S168" s="33">
        <f>1622.7</f>
        <v>1622.7</v>
      </c>
      <c r="T168" s="30">
        <f>10440</f>
        <v>10440</v>
      </c>
      <c r="U168" s="30" t="str">
        <f t="shared" si="4"/>
        <v>－</v>
      </c>
      <c r="V168" s="30">
        <f>16722440</f>
        <v>16722440</v>
      </c>
      <c r="W168" s="30" t="str">
        <f t="shared" si="5"/>
        <v>－</v>
      </c>
      <c r="X168" s="34">
        <f>20</f>
        <v>20</v>
      </c>
    </row>
    <row r="169" spans="1:24" x14ac:dyDescent="0.15">
      <c r="A169" s="25" t="s">
        <v>993</v>
      </c>
      <c r="B169" s="25" t="s">
        <v>541</v>
      </c>
      <c r="C169" s="25" t="s">
        <v>542</v>
      </c>
      <c r="D169" s="25" t="s">
        <v>543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720</f>
        <v>720</v>
      </c>
      <c r="L169" s="32" t="s">
        <v>904</v>
      </c>
      <c r="M169" s="31">
        <f>795.3</f>
        <v>795.3</v>
      </c>
      <c r="N169" s="32" t="s">
        <v>94</v>
      </c>
      <c r="O169" s="31">
        <f>657</f>
        <v>657</v>
      </c>
      <c r="P169" s="32" t="s">
        <v>70</v>
      </c>
      <c r="Q169" s="31">
        <f>752.2</f>
        <v>752.2</v>
      </c>
      <c r="R169" s="32" t="s">
        <v>936</v>
      </c>
      <c r="S169" s="33">
        <f>736.5</f>
        <v>736.5</v>
      </c>
      <c r="T169" s="30">
        <f>99450</f>
        <v>99450</v>
      </c>
      <c r="U169" s="30" t="str">
        <f t="shared" si="4"/>
        <v>－</v>
      </c>
      <c r="V169" s="30">
        <f>71325655</f>
        <v>71325655</v>
      </c>
      <c r="W169" s="30" t="str">
        <f t="shared" si="5"/>
        <v>－</v>
      </c>
      <c r="X169" s="34">
        <f>20</f>
        <v>20</v>
      </c>
    </row>
    <row r="170" spans="1:24" x14ac:dyDescent="0.15">
      <c r="A170" s="25" t="s">
        <v>993</v>
      </c>
      <c r="B170" s="25" t="s">
        <v>544</v>
      </c>
      <c r="C170" s="25" t="s">
        <v>545</v>
      </c>
      <c r="D170" s="25" t="s">
        <v>546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2089</f>
        <v>2089</v>
      </c>
      <c r="L170" s="32" t="s">
        <v>904</v>
      </c>
      <c r="M170" s="31">
        <f>2089</f>
        <v>2089</v>
      </c>
      <c r="N170" s="32" t="s">
        <v>904</v>
      </c>
      <c r="O170" s="31">
        <f>1876</f>
        <v>1876</v>
      </c>
      <c r="P170" s="32" t="s">
        <v>915</v>
      </c>
      <c r="Q170" s="31">
        <f>1980</f>
        <v>1980</v>
      </c>
      <c r="R170" s="32" t="s">
        <v>936</v>
      </c>
      <c r="S170" s="33">
        <f>1965.93</f>
        <v>1965.93</v>
      </c>
      <c r="T170" s="30">
        <f>8900</f>
        <v>8900</v>
      </c>
      <c r="U170" s="30" t="str">
        <f t="shared" si="4"/>
        <v>－</v>
      </c>
      <c r="V170" s="30">
        <f>17550045</f>
        <v>17550045</v>
      </c>
      <c r="W170" s="30" t="str">
        <f t="shared" si="5"/>
        <v>－</v>
      </c>
      <c r="X170" s="34">
        <f>20</f>
        <v>20</v>
      </c>
    </row>
    <row r="171" spans="1:24" x14ac:dyDescent="0.15">
      <c r="A171" s="25" t="s">
        <v>993</v>
      </c>
      <c r="B171" s="25" t="s">
        <v>547</v>
      </c>
      <c r="C171" s="25" t="s">
        <v>548</v>
      </c>
      <c r="D171" s="25" t="s">
        <v>549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908.6</f>
        <v>908.6</v>
      </c>
      <c r="L171" s="32" t="s">
        <v>904</v>
      </c>
      <c r="M171" s="31">
        <f>910</f>
        <v>910</v>
      </c>
      <c r="N171" s="32" t="s">
        <v>821</v>
      </c>
      <c r="O171" s="31">
        <f>811.1</f>
        <v>811.1</v>
      </c>
      <c r="P171" s="32" t="s">
        <v>80</v>
      </c>
      <c r="Q171" s="31">
        <f>859</f>
        <v>859</v>
      </c>
      <c r="R171" s="32" t="s">
        <v>936</v>
      </c>
      <c r="S171" s="33">
        <f>856.31</f>
        <v>856.31</v>
      </c>
      <c r="T171" s="30">
        <f>190830</f>
        <v>190830</v>
      </c>
      <c r="U171" s="30" t="str">
        <f t="shared" si="4"/>
        <v>－</v>
      </c>
      <c r="V171" s="30">
        <f>161127918</f>
        <v>161127918</v>
      </c>
      <c r="W171" s="30" t="str">
        <f t="shared" si="5"/>
        <v>－</v>
      </c>
      <c r="X171" s="34">
        <f>20</f>
        <v>20</v>
      </c>
    </row>
    <row r="172" spans="1:24" x14ac:dyDescent="0.15">
      <c r="A172" s="25" t="s">
        <v>993</v>
      </c>
      <c r="B172" s="25" t="s">
        <v>550</v>
      </c>
      <c r="C172" s="25" t="s">
        <v>551</v>
      </c>
      <c r="D172" s="25" t="s">
        <v>552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670.8</f>
        <v>670.8</v>
      </c>
      <c r="L172" s="32" t="s">
        <v>904</v>
      </c>
      <c r="M172" s="31">
        <f>680</f>
        <v>680</v>
      </c>
      <c r="N172" s="32" t="s">
        <v>821</v>
      </c>
      <c r="O172" s="31">
        <f>593.7</f>
        <v>593.70000000000005</v>
      </c>
      <c r="P172" s="32" t="s">
        <v>80</v>
      </c>
      <c r="Q172" s="31">
        <f>624.1</f>
        <v>624.1</v>
      </c>
      <c r="R172" s="32" t="s">
        <v>936</v>
      </c>
      <c r="S172" s="33">
        <f>626.7</f>
        <v>626.70000000000005</v>
      </c>
      <c r="T172" s="30">
        <f>565440</f>
        <v>565440</v>
      </c>
      <c r="U172" s="30" t="str">
        <f t="shared" si="4"/>
        <v>－</v>
      </c>
      <c r="V172" s="30">
        <f>354612742</f>
        <v>354612742</v>
      </c>
      <c r="W172" s="30" t="str">
        <f t="shared" si="5"/>
        <v>－</v>
      </c>
      <c r="X172" s="34">
        <f>20</f>
        <v>20</v>
      </c>
    </row>
    <row r="173" spans="1:24" x14ac:dyDescent="0.15">
      <c r="A173" s="25" t="s">
        <v>993</v>
      </c>
      <c r="B173" s="25" t="s">
        <v>553</v>
      </c>
      <c r="C173" s="25" t="s">
        <v>554</v>
      </c>
      <c r="D173" s="25" t="s">
        <v>555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3.2</f>
        <v>3.2</v>
      </c>
      <c r="L173" s="32" t="s">
        <v>904</v>
      </c>
      <c r="M173" s="31">
        <f>5</f>
        <v>5</v>
      </c>
      <c r="N173" s="32" t="s">
        <v>266</v>
      </c>
      <c r="O173" s="31">
        <f>3</f>
        <v>3</v>
      </c>
      <c r="P173" s="32" t="s">
        <v>80</v>
      </c>
      <c r="Q173" s="31">
        <f>4.4</f>
        <v>4.4000000000000004</v>
      </c>
      <c r="R173" s="32" t="s">
        <v>936</v>
      </c>
      <c r="S173" s="33">
        <f>3.88</f>
        <v>3.88</v>
      </c>
      <c r="T173" s="30">
        <f>642231900</f>
        <v>642231900</v>
      </c>
      <c r="U173" s="30">
        <f>50000</f>
        <v>50000</v>
      </c>
      <c r="V173" s="30">
        <f>2550456450</f>
        <v>2550456450</v>
      </c>
      <c r="W173" s="30">
        <f>250000</f>
        <v>250000</v>
      </c>
      <c r="X173" s="34">
        <f>20</f>
        <v>20</v>
      </c>
    </row>
    <row r="174" spans="1:24" x14ac:dyDescent="0.15">
      <c r="A174" s="25" t="s">
        <v>993</v>
      </c>
      <c r="B174" s="25" t="s">
        <v>556</v>
      </c>
      <c r="C174" s="25" t="s">
        <v>557</v>
      </c>
      <c r="D174" s="25" t="s">
        <v>558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1463</f>
        <v>1463</v>
      </c>
      <c r="L174" s="32" t="s">
        <v>904</v>
      </c>
      <c r="M174" s="31">
        <f>1526</f>
        <v>1526</v>
      </c>
      <c r="N174" s="32" t="s">
        <v>810</v>
      </c>
      <c r="O174" s="31">
        <f>1301</f>
        <v>1301</v>
      </c>
      <c r="P174" s="32" t="s">
        <v>70</v>
      </c>
      <c r="Q174" s="31">
        <f>1361.5</f>
        <v>1361.5</v>
      </c>
      <c r="R174" s="32" t="s">
        <v>936</v>
      </c>
      <c r="S174" s="33">
        <f>1393.6</f>
        <v>1393.6</v>
      </c>
      <c r="T174" s="30">
        <f>264900</f>
        <v>264900</v>
      </c>
      <c r="U174" s="30" t="str">
        <f t="shared" ref="U174:U182" si="6">"－"</f>
        <v>－</v>
      </c>
      <c r="V174" s="30">
        <f>367462860</f>
        <v>367462860</v>
      </c>
      <c r="W174" s="30" t="str">
        <f t="shared" ref="W174:W182" si="7">"－"</f>
        <v>－</v>
      </c>
      <c r="X174" s="34">
        <f>20</f>
        <v>20</v>
      </c>
    </row>
    <row r="175" spans="1:24" x14ac:dyDescent="0.15">
      <c r="A175" s="25" t="s">
        <v>993</v>
      </c>
      <c r="B175" s="25" t="s">
        <v>559</v>
      </c>
      <c r="C175" s="25" t="s">
        <v>560</v>
      </c>
      <c r="D175" s="25" t="s">
        <v>561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</v>
      </c>
      <c r="K175" s="31">
        <f>7245</f>
        <v>7245</v>
      </c>
      <c r="L175" s="32" t="s">
        <v>904</v>
      </c>
      <c r="M175" s="31">
        <f>7479</f>
        <v>7479</v>
      </c>
      <c r="N175" s="32" t="s">
        <v>810</v>
      </c>
      <c r="O175" s="31">
        <f>6184</f>
        <v>6184</v>
      </c>
      <c r="P175" s="32" t="s">
        <v>815</v>
      </c>
      <c r="Q175" s="31">
        <f>6390</f>
        <v>6390</v>
      </c>
      <c r="R175" s="32" t="s">
        <v>936</v>
      </c>
      <c r="S175" s="33">
        <f>6641.05</f>
        <v>6641.05</v>
      </c>
      <c r="T175" s="30">
        <f>3218</f>
        <v>3218</v>
      </c>
      <c r="U175" s="30" t="str">
        <f t="shared" si="6"/>
        <v>－</v>
      </c>
      <c r="V175" s="30">
        <f>21203901</f>
        <v>21203901</v>
      </c>
      <c r="W175" s="30" t="str">
        <f t="shared" si="7"/>
        <v>－</v>
      </c>
      <c r="X175" s="34">
        <f>19</f>
        <v>19</v>
      </c>
    </row>
    <row r="176" spans="1:24" x14ac:dyDescent="0.15">
      <c r="A176" s="25" t="s">
        <v>993</v>
      </c>
      <c r="B176" s="25" t="s">
        <v>562</v>
      </c>
      <c r="C176" s="25" t="s">
        <v>563</v>
      </c>
      <c r="D176" s="25" t="s">
        <v>564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460</f>
        <v>460</v>
      </c>
      <c r="L176" s="32" t="s">
        <v>904</v>
      </c>
      <c r="M176" s="31">
        <f>464</f>
        <v>464</v>
      </c>
      <c r="N176" s="32" t="s">
        <v>66</v>
      </c>
      <c r="O176" s="31">
        <f>434.9</f>
        <v>434.9</v>
      </c>
      <c r="P176" s="32" t="s">
        <v>80</v>
      </c>
      <c r="Q176" s="31">
        <f>453</f>
        <v>453</v>
      </c>
      <c r="R176" s="32" t="s">
        <v>936</v>
      </c>
      <c r="S176" s="33">
        <f>453.85</f>
        <v>453.85</v>
      </c>
      <c r="T176" s="30">
        <f>120500</f>
        <v>120500</v>
      </c>
      <c r="U176" s="30" t="str">
        <f t="shared" si="6"/>
        <v>－</v>
      </c>
      <c r="V176" s="30">
        <f>54451700</f>
        <v>54451700</v>
      </c>
      <c r="W176" s="30" t="str">
        <f t="shared" si="7"/>
        <v>－</v>
      </c>
      <c r="X176" s="34">
        <f>20</f>
        <v>20</v>
      </c>
    </row>
    <row r="177" spans="1:24" x14ac:dyDescent="0.15">
      <c r="A177" s="25" t="s">
        <v>993</v>
      </c>
      <c r="B177" s="25" t="s">
        <v>565</v>
      </c>
      <c r="C177" s="25" t="s">
        <v>566</v>
      </c>
      <c r="D177" s="25" t="s">
        <v>567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4415</f>
        <v>4415</v>
      </c>
      <c r="L177" s="32" t="s">
        <v>904</v>
      </c>
      <c r="M177" s="31">
        <f>4600</f>
        <v>4600</v>
      </c>
      <c r="N177" s="32" t="s">
        <v>66</v>
      </c>
      <c r="O177" s="31">
        <f>3901</f>
        <v>3901</v>
      </c>
      <c r="P177" s="32" t="s">
        <v>915</v>
      </c>
      <c r="Q177" s="31">
        <f>4082</f>
        <v>4082</v>
      </c>
      <c r="R177" s="32" t="s">
        <v>936</v>
      </c>
      <c r="S177" s="33">
        <f>4128.8</f>
        <v>4128.8</v>
      </c>
      <c r="T177" s="30">
        <f>77350</f>
        <v>77350</v>
      </c>
      <c r="U177" s="30" t="str">
        <f t="shared" si="6"/>
        <v>－</v>
      </c>
      <c r="V177" s="30">
        <f>323085310</f>
        <v>323085310</v>
      </c>
      <c r="W177" s="30" t="str">
        <f t="shared" si="7"/>
        <v>－</v>
      </c>
      <c r="X177" s="34">
        <f>20</f>
        <v>20</v>
      </c>
    </row>
    <row r="178" spans="1:24" x14ac:dyDescent="0.15">
      <c r="A178" s="25" t="s">
        <v>993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2905</f>
        <v>2905</v>
      </c>
      <c r="L178" s="32" t="s">
        <v>904</v>
      </c>
      <c r="M178" s="31">
        <f>2905</f>
        <v>2905</v>
      </c>
      <c r="N178" s="32" t="s">
        <v>904</v>
      </c>
      <c r="O178" s="31">
        <f>2527</f>
        <v>2527</v>
      </c>
      <c r="P178" s="32" t="s">
        <v>915</v>
      </c>
      <c r="Q178" s="31">
        <f>2771.5</f>
        <v>2771.5</v>
      </c>
      <c r="R178" s="32" t="s">
        <v>936</v>
      </c>
      <c r="S178" s="33">
        <f>2749.3</f>
        <v>2749.3</v>
      </c>
      <c r="T178" s="30">
        <f>32050</f>
        <v>32050</v>
      </c>
      <c r="U178" s="30" t="str">
        <f t="shared" si="6"/>
        <v>－</v>
      </c>
      <c r="V178" s="30">
        <f>88211240</f>
        <v>88211240</v>
      </c>
      <c r="W178" s="30" t="str">
        <f t="shared" si="7"/>
        <v>－</v>
      </c>
      <c r="X178" s="34">
        <f>20</f>
        <v>20</v>
      </c>
    </row>
    <row r="179" spans="1:24" x14ac:dyDescent="0.15">
      <c r="A179" s="25" t="s">
        <v>993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124.3</f>
        <v>124.3</v>
      </c>
      <c r="L179" s="32" t="s">
        <v>904</v>
      </c>
      <c r="M179" s="31">
        <f>130.5</f>
        <v>130.5</v>
      </c>
      <c r="N179" s="32" t="s">
        <v>821</v>
      </c>
      <c r="O179" s="31">
        <f>108</f>
        <v>108</v>
      </c>
      <c r="P179" s="32" t="s">
        <v>812</v>
      </c>
      <c r="Q179" s="31">
        <f>111.7</f>
        <v>111.7</v>
      </c>
      <c r="R179" s="32" t="s">
        <v>936</v>
      </c>
      <c r="S179" s="33">
        <f>115.06</f>
        <v>115.06</v>
      </c>
      <c r="T179" s="30">
        <f>16538100</f>
        <v>16538100</v>
      </c>
      <c r="U179" s="30" t="str">
        <f t="shared" si="6"/>
        <v>－</v>
      </c>
      <c r="V179" s="30">
        <f>1910455860</f>
        <v>1910455860</v>
      </c>
      <c r="W179" s="30" t="str">
        <f t="shared" si="7"/>
        <v>－</v>
      </c>
      <c r="X179" s="34">
        <f>20</f>
        <v>20</v>
      </c>
    </row>
    <row r="180" spans="1:24" x14ac:dyDescent="0.15">
      <c r="A180" s="25" t="s">
        <v>993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171.2</f>
        <v>171.2</v>
      </c>
      <c r="L180" s="32" t="s">
        <v>904</v>
      </c>
      <c r="M180" s="31">
        <f>179.6</f>
        <v>179.6</v>
      </c>
      <c r="N180" s="32" t="s">
        <v>821</v>
      </c>
      <c r="O180" s="31">
        <f>153.1</f>
        <v>153.1</v>
      </c>
      <c r="P180" s="32" t="s">
        <v>815</v>
      </c>
      <c r="Q180" s="31">
        <f>161.5</f>
        <v>161.5</v>
      </c>
      <c r="R180" s="32" t="s">
        <v>936</v>
      </c>
      <c r="S180" s="33">
        <f>163.62</f>
        <v>163.62</v>
      </c>
      <c r="T180" s="30">
        <f>1898800</f>
        <v>1898800</v>
      </c>
      <c r="U180" s="30" t="str">
        <f t="shared" si="6"/>
        <v>－</v>
      </c>
      <c r="V180" s="30">
        <f>311470720</f>
        <v>311470720</v>
      </c>
      <c r="W180" s="30" t="str">
        <f t="shared" si="7"/>
        <v>－</v>
      </c>
      <c r="X180" s="34">
        <f>20</f>
        <v>20</v>
      </c>
    </row>
    <row r="181" spans="1:24" x14ac:dyDescent="0.15">
      <c r="A181" s="25" t="s">
        <v>993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4037</f>
        <v>4037</v>
      </c>
      <c r="L181" s="32" t="s">
        <v>904</v>
      </c>
      <c r="M181" s="31">
        <f>4071</f>
        <v>4071</v>
      </c>
      <c r="N181" s="32" t="s">
        <v>904</v>
      </c>
      <c r="O181" s="31">
        <f>3585</f>
        <v>3585</v>
      </c>
      <c r="P181" s="32" t="s">
        <v>80</v>
      </c>
      <c r="Q181" s="31">
        <f>3905</f>
        <v>3905</v>
      </c>
      <c r="R181" s="32" t="s">
        <v>936</v>
      </c>
      <c r="S181" s="33">
        <f>3798.25</f>
        <v>3798.25</v>
      </c>
      <c r="T181" s="30">
        <f>29730</f>
        <v>29730</v>
      </c>
      <c r="U181" s="30" t="str">
        <f t="shared" si="6"/>
        <v>－</v>
      </c>
      <c r="V181" s="30">
        <f>112510710</f>
        <v>112510710</v>
      </c>
      <c r="W181" s="30" t="str">
        <f t="shared" si="7"/>
        <v>－</v>
      </c>
      <c r="X181" s="34">
        <f>20</f>
        <v>20</v>
      </c>
    </row>
    <row r="182" spans="1:24" x14ac:dyDescent="0.15">
      <c r="A182" s="25" t="s">
        <v>993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1966</f>
        <v>1966</v>
      </c>
      <c r="L182" s="32" t="s">
        <v>904</v>
      </c>
      <c r="M182" s="31">
        <f>2028</f>
        <v>2028</v>
      </c>
      <c r="N182" s="32" t="s">
        <v>266</v>
      </c>
      <c r="O182" s="31">
        <f>1930</f>
        <v>1930</v>
      </c>
      <c r="P182" s="32" t="s">
        <v>70</v>
      </c>
      <c r="Q182" s="31">
        <f>2000</f>
        <v>2000</v>
      </c>
      <c r="R182" s="32" t="s">
        <v>936</v>
      </c>
      <c r="S182" s="33">
        <f>1988.18</f>
        <v>1988.18</v>
      </c>
      <c r="T182" s="30">
        <f>27420</f>
        <v>27420</v>
      </c>
      <c r="U182" s="30" t="str">
        <f t="shared" si="6"/>
        <v>－</v>
      </c>
      <c r="V182" s="30">
        <f>54255265</f>
        <v>54255265</v>
      </c>
      <c r="W182" s="30" t="str">
        <f t="shared" si="7"/>
        <v>－</v>
      </c>
      <c r="X182" s="34">
        <f>20</f>
        <v>20</v>
      </c>
    </row>
    <row r="183" spans="1:24" x14ac:dyDescent="0.15">
      <c r="A183" s="25" t="s">
        <v>993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392.6</f>
        <v>392.6</v>
      </c>
      <c r="L183" s="32" t="s">
        <v>904</v>
      </c>
      <c r="M183" s="31">
        <f>410.7</f>
        <v>410.7</v>
      </c>
      <c r="N183" s="32" t="s">
        <v>810</v>
      </c>
      <c r="O183" s="31">
        <f>349.7</f>
        <v>349.7</v>
      </c>
      <c r="P183" s="32" t="s">
        <v>70</v>
      </c>
      <c r="Q183" s="31">
        <f>366.9</f>
        <v>366.9</v>
      </c>
      <c r="R183" s="32" t="s">
        <v>936</v>
      </c>
      <c r="S183" s="33">
        <f>375.05</f>
        <v>375.05</v>
      </c>
      <c r="T183" s="30">
        <f>57327500</f>
        <v>57327500</v>
      </c>
      <c r="U183" s="30">
        <f>1850</f>
        <v>1850</v>
      </c>
      <c r="V183" s="30">
        <f>21808322980</f>
        <v>21808322980</v>
      </c>
      <c r="W183" s="30">
        <f>701131</f>
        <v>701131</v>
      </c>
      <c r="X183" s="34">
        <f>20</f>
        <v>20</v>
      </c>
    </row>
    <row r="184" spans="1:24" x14ac:dyDescent="0.15">
      <c r="A184" s="25" t="s">
        <v>993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7718</f>
        <v>7718</v>
      </c>
      <c r="L184" s="32" t="s">
        <v>904</v>
      </c>
      <c r="M184" s="31">
        <f>7999</f>
        <v>7999</v>
      </c>
      <c r="N184" s="32" t="s">
        <v>810</v>
      </c>
      <c r="O184" s="31">
        <f>6450</f>
        <v>6450</v>
      </c>
      <c r="P184" s="32" t="s">
        <v>936</v>
      </c>
      <c r="Q184" s="31">
        <f>6460</f>
        <v>6460</v>
      </c>
      <c r="R184" s="32" t="s">
        <v>936</v>
      </c>
      <c r="S184" s="33">
        <f>7159.65</f>
        <v>7159.65</v>
      </c>
      <c r="T184" s="30">
        <f>26333</f>
        <v>26333</v>
      </c>
      <c r="U184" s="30" t="str">
        <f>"－"</f>
        <v>－</v>
      </c>
      <c r="V184" s="30">
        <f>191474060</f>
        <v>191474060</v>
      </c>
      <c r="W184" s="30" t="str">
        <f>"－"</f>
        <v>－</v>
      </c>
      <c r="X184" s="34">
        <f>20</f>
        <v>20</v>
      </c>
    </row>
    <row r="185" spans="1:24" x14ac:dyDescent="0.15">
      <c r="A185" s="25" t="s">
        <v>993</v>
      </c>
      <c r="B185" s="25" t="s">
        <v>590</v>
      </c>
      <c r="C185" s="25" t="s">
        <v>591</v>
      </c>
      <c r="D185" s="25" t="s">
        <v>592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7556</f>
        <v>7556</v>
      </c>
      <c r="L185" s="32" t="s">
        <v>904</v>
      </c>
      <c r="M185" s="31">
        <f>8187</f>
        <v>8187</v>
      </c>
      <c r="N185" s="32" t="s">
        <v>915</v>
      </c>
      <c r="O185" s="31">
        <f>7344</f>
        <v>7344</v>
      </c>
      <c r="P185" s="32" t="s">
        <v>912</v>
      </c>
      <c r="Q185" s="31">
        <f>7916</f>
        <v>7916</v>
      </c>
      <c r="R185" s="32" t="s">
        <v>936</v>
      </c>
      <c r="S185" s="33">
        <f>7787.9</f>
        <v>7787.9</v>
      </c>
      <c r="T185" s="30">
        <f>2519</f>
        <v>2519</v>
      </c>
      <c r="U185" s="30" t="str">
        <f>"－"</f>
        <v>－</v>
      </c>
      <c r="V185" s="30">
        <f>19769509</f>
        <v>19769509</v>
      </c>
      <c r="W185" s="30" t="str">
        <f>"－"</f>
        <v>－</v>
      </c>
      <c r="X185" s="34">
        <f>20</f>
        <v>20</v>
      </c>
    </row>
    <row r="186" spans="1:24" x14ac:dyDescent="0.15">
      <c r="A186" s="25" t="s">
        <v>993</v>
      </c>
      <c r="B186" s="25" t="s">
        <v>593</v>
      </c>
      <c r="C186" s="25" t="s">
        <v>594</v>
      </c>
      <c r="D186" s="25" t="s">
        <v>595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10670</f>
        <v>10670</v>
      </c>
      <c r="L186" s="32" t="s">
        <v>904</v>
      </c>
      <c r="M186" s="31">
        <f>11635</f>
        <v>11635</v>
      </c>
      <c r="N186" s="32" t="s">
        <v>908</v>
      </c>
      <c r="O186" s="31">
        <f>10240</f>
        <v>10240</v>
      </c>
      <c r="P186" s="32" t="s">
        <v>811</v>
      </c>
      <c r="Q186" s="31">
        <f>11500</f>
        <v>11500</v>
      </c>
      <c r="R186" s="32" t="s">
        <v>936</v>
      </c>
      <c r="S186" s="33">
        <f>10818.95</f>
        <v>10818.95</v>
      </c>
      <c r="T186" s="30">
        <f>389</f>
        <v>389</v>
      </c>
      <c r="U186" s="30" t="str">
        <f>"－"</f>
        <v>－</v>
      </c>
      <c r="V186" s="30">
        <f>4192165</f>
        <v>4192165</v>
      </c>
      <c r="W186" s="30" t="str">
        <f>"－"</f>
        <v>－</v>
      </c>
      <c r="X186" s="34">
        <f>19</f>
        <v>19</v>
      </c>
    </row>
    <row r="187" spans="1:24" x14ac:dyDescent="0.15">
      <c r="A187" s="25" t="s">
        <v>993</v>
      </c>
      <c r="B187" s="25" t="s">
        <v>596</v>
      </c>
      <c r="C187" s="25" t="s">
        <v>597</v>
      </c>
      <c r="D187" s="25" t="s">
        <v>598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8398</f>
        <v>8398</v>
      </c>
      <c r="L187" s="32" t="s">
        <v>904</v>
      </c>
      <c r="M187" s="31">
        <f>8600</f>
        <v>8600</v>
      </c>
      <c r="N187" s="32" t="s">
        <v>811</v>
      </c>
      <c r="O187" s="31">
        <f>7802</f>
        <v>7802</v>
      </c>
      <c r="P187" s="32" t="s">
        <v>936</v>
      </c>
      <c r="Q187" s="31">
        <f>7880</f>
        <v>7880</v>
      </c>
      <c r="R187" s="32" t="s">
        <v>936</v>
      </c>
      <c r="S187" s="33">
        <f>8305.95</f>
        <v>8305.9500000000007</v>
      </c>
      <c r="T187" s="30">
        <f>18962</f>
        <v>18962</v>
      </c>
      <c r="U187" s="30" t="str">
        <f>"－"</f>
        <v>－</v>
      </c>
      <c r="V187" s="30">
        <f>156358396</f>
        <v>156358396</v>
      </c>
      <c r="W187" s="30" t="str">
        <f>"－"</f>
        <v>－</v>
      </c>
      <c r="X187" s="34">
        <f>20</f>
        <v>20</v>
      </c>
    </row>
    <row r="188" spans="1:24" x14ac:dyDescent="0.15">
      <c r="A188" s="25" t="s">
        <v>993</v>
      </c>
      <c r="B188" s="25" t="s">
        <v>602</v>
      </c>
      <c r="C188" s="25" t="s">
        <v>603</v>
      </c>
      <c r="D188" s="25" t="s">
        <v>604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26270</f>
        <v>26270</v>
      </c>
      <c r="L188" s="32" t="s">
        <v>904</v>
      </c>
      <c r="M188" s="31">
        <f>26545</f>
        <v>26545</v>
      </c>
      <c r="N188" s="32" t="s">
        <v>810</v>
      </c>
      <c r="O188" s="31">
        <f>23890</f>
        <v>23890</v>
      </c>
      <c r="P188" s="32" t="s">
        <v>66</v>
      </c>
      <c r="Q188" s="31">
        <f>24340</f>
        <v>24340</v>
      </c>
      <c r="R188" s="32" t="s">
        <v>936</v>
      </c>
      <c r="S188" s="33">
        <f>24755.25</f>
        <v>24755.25</v>
      </c>
      <c r="T188" s="30">
        <f>31623</f>
        <v>31623</v>
      </c>
      <c r="U188" s="30">
        <f>6</f>
        <v>6</v>
      </c>
      <c r="V188" s="30">
        <f>788776360</f>
        <v>788776360</v>
      </c>
      <c r="W188" s="30">
        <f>148540</f>
        <v>148540</v>
      </c>
      <c r="X188" s="34">
        <f>20</f>
        <v>20</v>
      </c>
    </row>
    <row r="189" spans="1:24" x14ac:dyDescent="0.15">
      <c r="A189" s="25" t="s">
        <v>993</v>
      </c>
      <c r="B189" s="25" t="s">
        <v>605</v>
      </c>
      <c r="C189" s="25" t="s">
        <v>606</v>
      </c>
      <c r="D189" s="25" t="s">
        <v>607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4370</f>
        <v>4370</v>
      </c>
      <c r="L189" s="32" t="s">
        <v>904</v>
      </c>
      <c r="M189" s="31">
        <f>4605</f>
        <v>4605</v>
      </c>
      <c r="N189" s="32" t="s">
        <v>66</v>
      </c>
      <c r="O189" s="31">
        <f>4335</f>
        <v>4335</v>
      </c>
      <c r="P189" s="32" t="s">
        <v>810</v>
      </c>
      <c r="Q189" s="31">
        <f>4575</f>
        <v>4575</v>
      </c>
      <c r="R189" s="32" t="s">
        <v>936</v>
      </c>
      <c r="S189" s="33">
        <f>4513.25</f>
        <v>4513.25</v>
      </c>
      <c r="T189" s="30">
        <f>11706</f>
        <v>11706</v>
      </c>
      <c r="U189" s="30" t="str">
        <f>"－"</f>
        <v>－</v>
      </c>
      <c r="V189" s="30">
        <f>52784155</f>
        <v>52784155</v>
      </c>
      <c r="W189" s="30" t="str">
        <f>"－"</f>
        <v>－</v>
      </c>
      <c r="X189" s="34">
        <f>20</f>
        <v>20</v>
      </c>
    </row>
    <row r="190" spans="1:24" x14ac:dyDescent="0.15">
      <c r="A190" s="25" t="s">
        <v>993</v>
      </c>
      <c r="B190" s="25" t="s">
        <v>608</v>
      </c>
      <c r="C190" s="25" t="s">
        <v>609</v>
      </c>
      <c r="D190" s="25" t="s">
        <v>610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1759</f>
        <v>1759</v>
      </c>
      <c r="L190" s="32" t="s">
        <v>904</v>
      </c>
      <c r="M190" s="31">
        <f>1893</f>
        <v>1893</v>
      </c>
      <c r="N190" s="32" t="s">
        <v>810</v>
      </c>
      <c r="O190" s="31">
        <f>1339</f>
        <v>1339</v>
      </c>
      <c r="P190" s="32" t="s">
        <v>70</v>
      </c>
      <c r="Q190" s="31">
        <f>1584</f>
        <v>1584</v>
      </c>
      <c r="R190" s="32" t="s">
        <v>936</v>
      </c>
      <c r="S190" s="33">
        <f>1582</f>
        <v>1582</v>
      </c>
      <c r="T190" s="30">
        <f>57148833</f>
        <v>57148833</v>
      </c>
      <c r="U190" s="30">
        <f>300020</f>
        <v>300020</v>
      </c>
      <c r="V190" s="30">
        <f>90430870046</f>
        <v>90430870046</v>
      </c>
      <c r="W190" s="30">
        <f>585029847</f>
        <v>585029847</v>
      </c>
      <c r="X190" s="34">
        <f>20</f>
        <v>20</v>
      </c>
    </row>
    <row r="191" spans="1:24" x14ac:dyDescent="0.15">
      <c r="A191" s="25" t="s">
        <v>993</v>
      </c>
      <c r="B191" s="25" t="s">
        <v>611</v>
      </c>
      <c r="C191" s="25" t="s">
        <v>612</v>
      </c>
      <c r="D191" s="25" t="s">
        <v>613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1443</f>
        <v>1443</v>
      </c>
      <c r="L191" s="32" t="s">
        <v>904</v>
      </c>
      <c r="M191" s="31">
        <f>1607</f>
        <v>1607</v>
      </c>
      <c r="N191" s="32" t="s">
        <v>70</v>
      </c>
      <c r="O191" s="31">
        <f>1394</f>
        <v>1394</v>
      </c>
      <c r="P191" s="32" t="s">
        <v>810</v>
      </c>
      <c r="Q191" s="31">
        <f>1450</f>
        <v>1450</v>
      </c>
      <c r="R191" s="32" t="s">
        <v>936</v>
      </c>
      <c r="S191" s="33">
        <f>1481.05</f>
        <v>1481.05</v>
      </c>
      <c r="T191" s="30">
        <f>5863130</f>
        <v>5863130</v>
      </c>
      <c r="U191" s="30" t="str">
        <f>"－"</f>
        <v>－</v>
      </c>
      <c r="V191" s="30">
        <f>8711107243</f>
        <v>8711107243</v>
      </c>
      <c r="W191" s="30" t="str">
        <f>"－"</f>
        <v>－</v>
      </c>
      <c r="X191" s="34">
        <f>20</f>
        <v>20</v>
      </c>
    </row>
    <row r="192" spans="1:24" x14ac:dyDescent="0.15">
      <c r="A192" s="25" t="s">
        <v>993</v>
      </c>
      <c r="B192" s="25" t="s">
        <v>614</v>
      </c>
      <c r="C192" s="25" t="s">
        <v>615</v>
      </c>
      <c r="D192" s="25" t="s">
        <v>616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22900</f>
        <v>22900</v>
      </c>
      <c r="L192" s="32" t="s">
        <v>904</v>
      </c>
      <c r="M192" s="31">
        <f>25495</f>
        <v>25495</v>
      </c>
      <c r="N192" s="32" t="s">
        <v>936</v>
      </c>
      <c r="O192" s="31">
        <f>22655</f>
        <v>22655</v>
      </c>
      <c r="P192" s="32" t="s">
        <v>695</v>
      </c>
      <c r="Q192" s="31">
        <f>25465</f>
        <v>25465</v>
      </c>
      <c r="R192" s="32" t="s">
        <v>936</v>
      </c>
      <c r="S192" s="33">
        <f>23826.5</f>
        <v>23826.5</v>
      </c>
      <c r="T192" s="30">
        <f>95239</f>
        <v>95239</v>
      </c>
      <c r="U192" s="30">
        <f>13</f>
        <v>13</v>
      </c>
      <c r="V192" s="30">
        <f>2295003865</f>
        <v>2295003865</v>
      </c>
      <c r="W192" s="30">
        <f>307300</f>
        <v>307300</v>
      </c>
      <c r="X192" s="34">
        <f>20</f>
        <v>20</v>
      </c>
    </row>
    <row r="193" spans="1:24" x14ac:dyDescent="0.15">
      <c r="A193" s="25" t="s">
        <v>993</v>
      </c>
      <c r="B193" s="25" t="s">
        <v>617</v>
      </c>
      <c r="C193" s="25" t="s">
        <v>618</v>
      </c>
      <c r="D193" s="25" t="s">
        <v>619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3200</f>
        <v>3200</v>
      </c>
      <c r="L193" s="32" t="s">
        <v>904</v>
      </c>
      <c r="M193" s="31">
        <f>3270</f>
        <v>3270</v>
      </c>
      <c r="N193" s="32" t="s">
        <v>904</v>
      </c>
      <c r="O193" s="31">
        <f>3050</f>
        <v>3050</v>
      </c>
      <c r="P193" s="32" t="s">
        <v>936</v>
      </c>
      <c r="Q193" s="31">
        <f>3060</f>
        <v>3060</v>
      </c>
      <c r="R193" s="32" t="s">
        <v>936</v>
      </c>
      <c r="S193" s="33">
        <f>3162.5</f>
        <v>3162.5</v>
      </c>
      <c r="T193" s="30">
        <f>566803</f>
        <v>566803</v>
      </c>
      <c r="U193" s="30">
        <f>5</f>
        <v>5</v>
      </c>
      <c r="V193" s="30">
        <f>1797563555</f>
        <v>1797563555</v>
      </c>
      <c r="W193" s="30">
        <f>15705</f>
        <v>15705</v>
      </c>
      <c r="X193" s="34">
        <f>20</f>
        <v>20</v>
      </c>
    </row>
    <row r="194" spans="1:24" x14ac:dyDescent="0.15">
      <c r="A194" s="25" t="s">
        <v>993</v>
      </c>
      <c r="B194" s="25" t="s">
        <v>620</v>
      </c>
      <c r="C194" s="25" t="s">
        <v>621</v>
      </c>
      <c r="D194" s="25" t="s">
        <v>622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7037</f>
        <v>7037</v>
      </c>
      <c r="L194" s="32" t="s">
        <v>904</v>
      </c>
      <c r="M194" s="31">
        <f>7738</f>
        <v>7738</v>
      </c>
      <c r="N194" s="32" t="s">
        <v>936</v>
      </c>
      <c r="O194" s="31">
        <f>6857</f>
        <v>6857</v>
      </c>
      <c r="P194" s="32" t="s">
        <v>904</v>
      </c>
      <c r="Q194" s="31">
        <f>7636</f>
        <v>7636</v>
      </c>
      <c r="R194" s="32" t="s">
        <v>936</v>
      </c>
      <c r="S194" s="33">
        <f>7317.1</f>
        <v>7317.1</v>
      </c>
      <c r="T194" s="30">
        <f>32122</f>
        <v>32122</v>
      </c>
      <c r="U194" s="30">
        <f>1</f>
        <v>1</v>
      </c>
      <c r="V194" s="30">
        <f>237052353</f>
        <v>237052353</v>
      </c>
      <c r="W194" s="30">
        <f>7636</f>
        <v>7636</v>
      </c>
      <c r="X194" s="34">
        <f>20</f>
        <v>20</v>
      </c>
    </row>
    <row r="195" spans="1:24" x14ac:dyDescent="0.15">
      <c r="A195" s="25" t="s">
        <v>993</v>
      </c>
      <c r="B195" s="25" t="s">
        <v>623</v>
      </c>
      <c r="C195" s="25" t="s">
        <v>624</v>
      </c>
      <c r="D195" s="25" t="s">
        <v>625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15355</f>
        <v>15355</v>
      </c>
      <c r="L195" s="32" t="s">
        <v>904</v>
      </c>
      <c r="M195" s="31">
        <f>15570</f>
        <v>15570</v>
      </c>
      <c r="N195" s="32" t="s">
        <v>94</v>
      </c>
      <c r="O195" s="31">
        <f>14980</f>
        <v>14980</v>
      </c>
      <c r="P195" s="32" t="s">
        <v>915</v>
      </c>
      <c r="Q195" s="31">
        <f>15570</f>
        <v>15570</v>
      </c>
      <c r="R195" s="32" t="s">
        <v>94</v>
      </c>
      <c r="S195" s="33">
        <f>15257</f>
        <v>15257</v>
      </c>
      <c r="T195" s="30">
        <f>114</f>
        <v>114</v>
      </c>
      <c r="U195" s="30" t="str">
        <f>"－"</f>
        <v>－</v>
      </c>
      <c r="V195" s="30">
        <f>1729135</f>
        <v>1729135</v>
      </c>
      <c r="W195" s="30" t="str">
        <f>"－"</f>
        <v>－</v>
      </c>
      <c r="X195" s="34">
        <f>10</f>
        <v>10</v>
      </c>
    </row>
    <row r="196" spans="1:24" x14ac:dyDescent="0.15">
      <c r="A196" s="25" t="s">
        <v>993</v>
      </c>
      <c r="B196" s="25" t="s">
        <v>626</v>
      </c>
      <c r="C196" s="25" t="s">
        <v>627</v>
      </c>
      <c r="D196" s="25" t="s">
        <v>628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21875</f>
        <v>21875</v>
      </c>
      <c r="L196" s="32" t="s">
        <v>904</v>
      </c>
      <c r="M196" s="31">
        <f>22900</f>
        <v>22900</v>
      </c>
      <c r="N196" s="32" t="s">
        <v>266</v>
      </c>
      <c r="O196" s="31">
        <f>21315</f>
        <v>21315</v>
      </c>
      <c r="P196" s="32" t="s">
        <v>904</v>
      </c>
      <c r="Q196" s="31">
        <f>22700</f>
        <v>22700</v>
      </c>
      <c r="R196" s="32" t="s">
        <v>936</v>
      </c>
      <c r="S196" s="33">
        <f>22206.5</f>
        <v>22206.5</v>
      </c>
      <c r="T196" s="30">
        <f>15049</f>
        <v>15049</v>
      </c>
      <c r="U196" s="30">
        <f>9</f>
        <v>9</v>
      </c>
      <c r="V196" s="30">
        <f>335033845</f>
        <v>335033845</v>
      </c>
      <c r="W196" s="30">
        <f>196605</f>
        <v>196605</v>
      </c>
      <c r="X196" s="34">
        <f>20</f>
        <v>20</v>
      </c>
    </row>
    <row r="197" spans="1:24" x14ac:dyDescent="0.15">
      <c r="A197" s="25" t="s">
        <v>993</v>
      </c>
      <c r="B197" s="25" t="s">
        <v>629</v>
      </c>
      <c r="C197" s="25" t="s">
        <v>630</v>
      </c>
      <c r="D197" s="25" t="s">
        <v>631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16010</f>
        <v>16010</v>
      </c>
      <c r="L197" s="32" t="s">
        <v>904</v>
      </c>
      <c r="M197" s="31">
        <f>16295</f>
        <v>16295</v>
      </c>
      <c r="N197" s="32" t="s">
        <v>94</v>
      </c>
      <c r="O197" s="31">
        <f>15425</f>
        <v>15425</v>
      </c>
      <c r="P197" s="32" t="s">
        <v>815</v>
      </c>
      <c r="Q197" s="31">
        <f>16035</f>
        <v>16035</v>
      </c>
      <c r="R197" s="32" t="s">
        <v>936</v>
      </c>
      <c r="S197" s="33">
        <f>15936.5</f>
        <v>15936.5</v>
      </c>
      <c r="T197" s="30">
        <f>500</f>
        <v>500</v>
      </c>
      <c r="U197" s="30" t="str">
        <f t="shared" ref="U197:U202" si="8">"－"</f>
        <v>－</v>
      </c>
      <c r="V197" s="30">
        <f>7851010</f>
        <v>7851010</v>
      </c>
      <c r="W197" s="30" t="str">
        <f t="shared" ref="W197:W202" si="9">"－"</f>
        <v>－</v>
      </c>
      <c r="X197" s="34">
        <f>20</f>
        <v>20</v>
      </c>
    </row>
    <row r="198" spans="1:24" x14ac:dyDescent="0.15">
      <c r="A198" s="25" t="s">
        <v>993</v>
      </c>
      <c r="B198" s="25" t="s">
        <v>632</v>
      </c>
      <c r="C198" s="25" t="s">
        <v>633</v>
      </c>
      <c r="D198" s="25" t="s">
        <v>634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16035</f>
        <v>16035</v>
      </c>
      <c r="L198" s="32" t="s">
        <v>904</v>
      </c>
      <c r="M198" s="31">
        <f>17900</f>
        <v>17900</v>
      </c>
      <c r="N198" s="32" t="s">
        <v>936</v>
      </c>
      <c r="O198" s="31">
        <f>15440</f>
        <v>15440</v>
      </c>
      <c r="P198" s="32" t="s">
        <v>904</v>
      </c>
      <c r="Q198" s="31">
        <f>17735</f>
        <v>17735</v>
      </c>
      <c r="R198" s="32" t="s">
        <v>936</v>
      </c>
      <c r="S198" s="33">
        <f>16602.25</f>
        <v>16602.25</v>
      </c>
      <c r="T198" s="30">
        <f>23435</f>
        <v>23435</v>
      </c>
      <c r="U198" s="30" t="str">
        <f t="shared" si="8"/>
        <v>－</v>
      </c>
      <c r="V198" s="30">
        <f>387584765</f>
        <v>387584765</v>
      </c>
      <c r="W198" s="30" t="str">
        <f t="shared" si="9"/>
        <v>－</v>
      </c>
      <c r="X198" s="34">
        <f>20</f>
        <v>20</v>
      </c>
    </row>
    <row r="199" spans="1:24" x14ac:dyDescent="0.15">
      <c r="A199" s="25" t="s">
        <v>993</v>
      </c>
      <c r="B199" s="25" t="s">
        <v>635</v>
      </c>
      <c r="C199" s="25" t="s">
        <v>636</v>
      </c>
      <c r="D199" s="25" t="s">
        <v>637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4985</f>
        <v>4985</v>
      </c>
      <c r="L199" s="32" t="s">
        <v>904</v>
      </c>
      <c r="M199" s="31">
        <f>4990</f>
        <v>4990</v>
      </c>
      <c r="N199" s="32" t="s">
        <v>904</v>
      </c>
      <c r="O199" s="31">
        <f>4410</f>
        <v>4410</v>
      </c>
      <c r="P199" s="32" t="s">
        <v>936</v>
      </c>
      <c r="Q199" s="31">
        <f>4475</f>
        <v>4475</v>
      </c>
      <c r="R199" s="32" t="s">
        <v>936</v>
      </c>
      <c r="S199" s="33">
        <f>4787.25</f>
        <v>4787.25</v>
      </c>
      <c r="T199" s="30">
        <f>4954</f>
        <v>4954</v>
      </c>
      <c r="U199" s="30" t="str">
        <f t="shared" si="8"/>
        <v>－</v>
      </c>
      <c r="V199" s="30">
        <f>23591125</f>
        <v>23591125</v>
      </c>
      <c r="W199" s="30" t="str">
        <f t="shared" si="9"/>
        <v>－</v>
      </c>
      <c r="X199" s="34">
        <f>20</f>
        <v>20</v>
      </c>
    </row>
    <row r="200" spans="1:24" x14ac:dyDescent="0.15">
      <c r="A200" s="25" t="s">
        <v>993</v>
      </c>
      <c r="B200" s="25" t="s">
        <v>638</v>
      </c>
      <c r="C200" s="25" t="s">
        <v>639</v>
      </c>
      <c r="D200" s="25" t="s">
        <v>640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14720</f>
        <v>14720</v>
      </c>
      <c r="L200" s="32" t="s">
        <v>70</v>
      </c>
      <c r="M200" s="31">
        <f>15295</f>
        <v>15295</v>
      </c>
      <c r="N200" s="32" t="s">
        <v>87</v>
      </c>
      <c r="O200" s="31">
        <f>14515</f>
        <v>14515</v>
      </c>
      <c r="P200" s="32" t="s">
        <v>70</v>
      </c>
      <c r="Q200" s="31">
        <f>15015</f>
        <v>15015</v>
      </c>
      <c r="R200" s="32" t="s">
        <v>936</v>
      </c>
      <c r="S200" s="33">
        <f>14975.67</f>
        <v>14975.67</v>
      </c>
      <c r="T200" s="30">
        <f>1544</f>
        <v>1544</v>
      </c>
      <c r="U200" s="30" t="str">
        <f t="shared" si="8"/>
        <v>－</v>
      </c>
      <c r="V200" s="30">
        <f>23184975</f>
        <v>23184975</v>
      </c>
      <c r="W200" s="30" t="str">
        <f t="shared" si="9"/>
        <v>－</v>
      </c>
      <c r="X200" s="34">
        <f>15</f>
        <v>15</v>
      </c>
    </row>
    <row r="201" spans="1:24" x14ac:dyDescent="0.15">
      <c r="A201" s="25" t="s">
        <v>993</v>
      </c>
      <c r="B201" s="25" t="s">
        <v>641</v>
      </c>
      <c r="C201" s="25" t="s">
        <v>642</v>
      </c>
      <c r="D201" s="25" t="s">
        <v>643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12725</f>
        <v>12725</v>
      </c>
      <c r="L201" s="32" t="s">
        <v>908</v>
      </c>
      <c r="M201" s="31">
        <f>12725</f>
        <v>12725</v>
      </c>
      <c r="N201" s="32" t="s">
        <v>908</v>
      </c>
      <c r="O201" s="31">
        <f>12725</f>
        <v>12725</v>
      </c>
      <c r="P201" s="32" t="s">
        <v>908</v>
      </c>
      <c r="Q201" s="31">
        <f>12725</f>
        <v>12725</v>
      </c>
      <c r="R201" s="32" t="s">
        <v>908</v>
      </c>
      <c r="S201" s="33">
        <f>12725</f>
        <v>12725</v>
      </c>
      <c r="T201" s="30">
        <f>1</f>
        <v>1</v>
      </c>
      <c r="U201" s="30" t="str">
        <f t="shared" si="8"/>
        <v>－</v>
      </c>
      <c r="V201" s="30">
        <f>12725</f>
        <v>12725</v>
      </c>
      <c r="W201" s="30" t="str">
        <f t="shared" si="9"/>
        <v>－</v>
      </c>
      <c r="X201" s="34">
        <f>1</f>
        <v>1</v>
      </c>
    </row>
    <row r="202" spans="1:24" x14ac:dyDescent="0.15">
      <c r="A202" s="25" t="s">
        <v>993</v>
      </c>
      <c r="B202" s="25" t="s">
        <v>644</v>
      </c>
      <c r="C202" s="25" t="s">
        <v>645</v>
      </c>
      <c r="D202" s="25" t="s">
        <v>646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17170</f>
        <v>17170</v>
      </c>
      <c r="L202" s="32" t="s">
        <v>904</v>
      </c>
      <c r="M202" s="31">
        <f>17860</f>
        <v>17860</v>
      </c>
      <c r="N202" s="32" t="s">
        <v>812</v>
      </c>
      <c r="O202" s="31">
        <f>17095</f>
        <v>17095</v>
      </c>
      <c r="P202" s="32" t="s">
        <v>70</v>
      </c>
      <c r="Q202" s="31">
        <f>17300</f>
        <v>17300</v>
      </c>
      <c r="R202" s="32" t="s">
        <v>936</v>
      </c>
      <c r="S202" s="33">
        <f>17464.58</f>
        <v>17464.580000000002</v>
      </c>
      <c r="T202" s="30">
        <f>846</f>
        <v>846</v>
      </c>
      <c r="U202" s="30" t="str">
        <f t="shared" si="8"/>
        <v>－</v>
      </c>
      <c r="V202" s="30">
        <f>14770005</f>
        <v>14770005</v>
      </c>
      <c r="W202" s="30" t="str">
        <f t="shared" si="9"/>
        <v>－</v>
      </c>
      <c r="X202" s="34">
        <f>12</f>
        <v>12</v>
      </c>
    </row>
    <row r="203" spans="1:24" x14ac:dyDescent="0.15">
      <c r="A203" s="25" t="s">
        <v>993</v>
      </c>
      <c r="B203" s="25" t="s">
        <v>647</v>
      </c>
      <c r="C203" s="25" t="s">
        <v>648</v>
      </c>
      <c r="D203" s="25" t="s">
        <v>649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16305</f>
        <v>16305</v>
      </c>
      <c r="L203" s="32" t="s">
        <v>811</v>
      </c>
      <c r="M203" s="31">
        <f>17105</f>
        <v>17105</v>
      </c>
      <c r="N203" s="32" t="s">
        <v>915</v>
      </c>
      <c r="O203" s="31">
        <f>16305</f>
        <v>16305</v>
      </c>
      <c r="P203" s="32" t="s">
        <v>811</v>
      </c>
      <c r="Q203" s="31">
        <f>16870</f>
        <v>16870</v>
      </c>
      <c r="R203" s="32" t="s">
        <v>87</v>
      </c>
      <c r="S203" s="33">
        <f>16579</f>
        <v>16579</v>
      </c>
      <c r="T203" s="30">
        <f>59</f>
        <v>59</v>
      </c>
      <c r="U203" s="30">
        <f>1</f>
        <v>1</v>
      </c>
      <c r="V203" s="30">
        <f>993610</f>
        <v>993610</v>
      </c>
      <c r="W203" s="30">
        <f>16870</f>
        <v>16870</v>
      </c>
      <c r="X203" s="34">
        <f>5</f>
        <v>5</v>
      </c>
    </row>
    <row r="204" spans="1:24" x14ac:dyDescent="0.15">
      <c r="A204" s="25" t="s">
        <v>993</v>
      </c>
      <c r="B204" s="25" t="s">
        <v>650</v>
      </c>
      <c r="C204" s="25" t="s">
        <v>651</v>
      </c>
      <c r="D204" s="25" t="s">
        <v>652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12995</f>
        <v>12995</v>
      </c>
      <c r="L204" s="32" t="s">
        <v>821</v>
      </c>
      <c r="M204" s="31">
        <f>13185</f>
        <v>13185</v>
      </c>
      <c r="N204" s="32" t="s">
        <v>812</v>
      </c>
      <c r="O204" s="31">
        <f>12735</f>
        <v>12735</v>
      </c>
      <c r="P204" s="32" t="s">
        <v>915</v>
      </c>
      <c r="Q204" s="31">
        <f>12975</f>
        <v>12975</v>
      </c>
      <c r="R204" s="32" t="s">
        <v>936</v>
      </c>
      <c r="S204" s="33">
        <f>13031.43</f>
        <v>13031.43</v>
      </c>
      <c r="T204" s="30">
        <f>496</f>
        <v>496</v>
      </c>
      <c r="U204" s="30">
        <f>1</f>
        <v>1</v>
      </c>
      <c r="V204" s="30">
        <f>6466860</f>
        <v>6466860</v>
      </c>
      <c r="W204" s="30">
        <f>13185</f>
        <v>13185</v>
      </c>
      <c r="X204" s="34">
        <f>7</f>
        <v>7</v>
      </c>
    </row>
    <row r="205" spans="1:24" x14ac:dyDescent="0.15">
      <c r="A205" s="25" t="s">
        <v>993</v>
      </c>
      <c r="B205" s="25" t="s">
        <v>653</v>
      </c>
      <c r="C205" s="25" t="s">
        <v>654</v>
      </c>
      <c r="D205" s="25" t="s">
        <v>655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14680</f>
        <v>14680</v>
      </c>
      <c r="L205" s="32" t="s">
        <v>908</v>
      </c>
      <c r="M205" s="31">
        <f>14680</f>
        <v>14680</v>
      </c>
      <c r="N205" s="32" t="s">
        <v>908</v>
      </c>
      <c r="O205" s="31">
        <f>14680</f>
        <v>14680</v>
      </c>
      <c r="P205" s="32" t="s">
        <v>908</v>
      </c>
      <c r="Q205" s="31">
        <f>14680</f>
        <v>14680</v>
      </c>
      <c r="R205" s="32" t="s">
        <v>908</v>
      </c>
      <c r="S205" s="33">
        <f>14680</f>
        <v>14680</v>
      </c>
      <c r="T205" s="30">
        <f>200</f>
        <v>200</v>
      </c>
      <c r="U205" s="30" t="str">
        <f t="shared" ref="U205:U210" si="10">"－"</f>
        <v>－</v>
      </c>
      <c r="V205" s="30">
        <f>2936000</f>
        <v>2936000</v>
      </c>
      <c r="W205" s="30" t="str">
        <f t="shared" ref="W205:W210" si="11">"－"</f>
        <v>－</v>
      </c>
      <c r="X205" s="34">
        <f>1</f>
        <v>1</v>
      </c>
    </row>
    <row r="206" spans="1:24" x14ac:dyDescent="0.15">
      <c r="A206" s="25" t="s">
        <v>993</v>
      </c>
      <c r="B206" s="25" t="s">
        <v>656</v>
      </c>
      <c r="C206" s="25" t="s">
        <v>657</v>
      </c>
      <c r="D206" s="25" t="s">
        <v>658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13750</f>
        <v>13750</v>
      </c>
      <c r="L206" s="32" t="s">
        <v>815</v>
      </c>
      <c r="M206" s="31">
        <f>13750</f>
        <v>13750</v>
      </c>
      <c r="N206" s="32" t="s">
        <v>815</v>
      </c>
      <c r="O206" s="31">
        <f>13750</f>
        <v>13750</v>
      </c>
      <c r="P206" s="32" t="s">
        <v>815</v>
      </c>
      <c r="Q206" s="31">
        <f>13750</f>
        <v>13750</v>
      </c>
      <c r="R206" s="32" t="s">
        <v>815</v>
      </c>
      <c r="S206" s="33">
        <f>13750</f>
        <v>13750</v>
      </c>
      <c r="T206" s="30">
        <f>1</f>
        <v>1</v>
      </c>
      <c r="U206" s="30" t="str">
        <f t="shared" si="10"/>
        <v>－</v>
      </c>
      <c r="V206" s="30">
        <f>13750</f>
        <v>13750</v>
      </c>
      <c r="W206" s="30" t="str">
        <f t="shared" si="11"/>
        <v>－</v>
      </c>
      <c r="X206" s="34">
        <f>1</f>
        <v>1</v>
      </c>
    </row>
    <row r="207" spans="1:24" x14ac:dyDescent="0.15">
      <c r="A207" s="25" t="s">
        <v>993</v>
      </c>
      <c r="B207" s="25" t="s">
        <v>659</v>
      </c>
      <c r="C207" s="25" t="s">
        <v>660</v>
      </c>
      <c r="D207" s="25" t="s">
        <v>661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9208</f>
        <v>9208</v>
      </c>
      <c r="L207" s="32" t="s">
        <v>904</v>
      </c>
      <c r="M207" s="31">
        <f>9823</f>
        <v>9823</v>
      </c>
      <c r="N207" s="32" t="s">
        <v>908</v>
      </c>
      <c r="O207" s="31">
        <f>9208</f>
        <v>9208</v>
      </c>
      <c r="P207" s="32" t="s">
        <v>904</v>
      </c>
      <c r="Q207" s="31">
        <f>9823</f>
        <v>9823</v>
      </c>
      <c r="R207" s="32" t="s">
        <v>908</v>
      </c>
      <c r="S207" s="33">
        <f>9563.38</f>
        <v>9563.3799999999992</v>
      </c>
      <c r="T207" s="30">
        <f>2746</f>
        <v>2746</v>
      </c>
      <c r="U207" s="30" t="str">
        <f t="shared" si="10"/>
        <v>－</v>
      </c>
      <c r="V207" s="30">
        <f>26584855</f>
        <v>26584855</v>
      </c>
      <c r="W207" s="30" t="str">
        <f t="shared" si="11"/>
        <v>－</v>
      </c>
      <c r="X207" s="34">
        <f>8</f>
        <v>8</v>
      </c>
    </row>
    <row r="208" spans="1:24" x14ac:dyDescent="0.15">
      <c r="A208" s="25" t="s">
        <v>993</v>
      </c>
      <c r="B208" s="25" t="s">
        <v>662</v>
      </c>
      <c r="C208" s="25" t="s">
        <v>663</v>
      </c>
      <c r="D208" s="25" t="s">
        <v>664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9599</f>
        <v>9599</v>
      </c>
      <c r="L208" s="32" t="s">
        <v>904</v>
      </c>
      <c r="M208" s="31">
        <f>10340</f>
        <v>10340</v>
      </c>
      <c r="N208" s="32" t="s">
        <v>815</v>
      </c>
      <c r="O208" s="31">
        <f>9420</f>
        <v>9420</v>
      </c>
      <c r="P208" s="32" t="s">
        <v>904</v>
      </c>
      <c r="Q208" s="31">
        <f>10285</f>
        <v>10285</v>
      </c>
      <c r="R208" s="32" t="s">
        <v>936</v>
      </c>
      <c r="S208" s="33">
        <f>9930.39</f>
        <v>9930.39</v>
      </c>
      <c r="T208" s="30">
        <f>20317</f>
        <v>20317</v>
      </c>
      <c r="U208" s="30" t="str">
        <f t="shared" si="10"/>
        <v>－</v>
      </c>
      <c r="V208" s="30">
        <f>202398983</f>
        <v>202398983</v>
      </c>
      <c r="W208" s="30" t="str">
        <f t="shared" si="11"/>
        <v>－</v>
      </c>
      <c r="X208" s="34">
        <f>18</f>
        <v>18</v>
      </c>
    </row>
    <row r="209" spans="1:24" x14ac:dyDescent="0.15">
      <c r="A209" s="25" t="s">
        <v>993</v>
      </c>
      <c r="B209" s="25" t="s">
        <v>665</v>
      </c>
      <c r="C209" s="25" t="s">
        <v>666</v>
      </c>
      <c r="D209" s="25" t="s">
        <v>667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9421</f>
        <v>9421</v>
      </c>
      <c r="L209" s="32" t="s">
        <v>821</v>
      </c>
      <c r="M209" s="31">
        <f>9558</f>
        <v>9558</v>
      </c>
      <c r="N209" s="32" t="s">
        <v>936</v>
      </c>
      <c r="O209" s="31">
        <f>9384</f>
        <v>9384</v>
      </c>
      <c r="P209" s="32" t="s">
        <v>816</v>
      </c>
      <c r="Q209" s="31">
        <f>9558</f>
        <v>9558</v>
      </c>
      <c r="R209" s="32" t="s">
        <v>936</v>
      </c>
      <c r="S209" s="33">
        <f>9468.4</f>
        <v>9468.4</v>
      </c>
      <c r="T209" s="30">
        <f>3808</f>
        <v>3808</v>
      </c>
      <c r="U209" s="30" t="str">
        <f t="shared" si="10"/>
        <v>－</v>
      </c>
      <c r="V209" s="30">
        <f>36144445</f>
        <v>36144445</v>
      </c>
      <c r="W209" s="30" t="str">
        <f t="shared" si="11"/>
        <v>－</v>
      </c>
      <c r="X209" s="34">
        <f>5</f>
        <v>5</v>
      </c>
    </row>
    <row r="210" spans="1:24" x14ac:dyDescent="0.15">
      <c r="A210" s="25" t="s">
        <v>993</v>
      </c>
      <c r="B210" s="25" t="s">
        <v>945</v>
      </c>
      <c r="C210" s="25" t="s">
        <v>946</v>
      </c>
      <c r="D210" s="25" t="s">
        <v>947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10125</f>
        <v>10125</v>
      </c>
      <c r="L210" s="32" t="s">
        <v>66</v>
      </c>
      <c r="M210" s="31">
        <f>10215</f>
        <v>10215</v>
      </c>
      <c r="N210" s="32" t="s">
        <v>908</v>
      </c>
      <c r="O210" s="31">
        <f>10125</f>
        <v>10125</v>
      </c>
      <c r="P210" s="32" t="s">
        <v>66</v>
      </c>
      <c r="Q210" s="31">
        <f>10160</f>
        <v>10160</v>
      </c>
      <c r="R210" s="32" t="s">
        <v>94</v>
      </c>
      <c r="S210" s="33">
        <f>10166.67</f>
        <v>10166.67</v>
      </c>
      <c r="T210" s="30">
        <f>41</f>
        <v>41</v>
      </c>
      <c r="U210" s="30" t="str">
        <f t="shared" si="10"/>
        <v>－</v>
      </c>
      <c r="V210" s="30">
        <f>415890</f>
        <v>415890</v>
      </c>
      <c r="W210" s="30" t="str">
        <f t="shared" si="11"/>
        <v>－</v>
      </c>
      <c r="X210" s="34">
        <f>3</f>
        <v>3</v>
      </c>
    </row>
    <row r="211" spans="1:24" x14ac:dyDescent="0.15">
      <c r="A211" s="25" t="s">
        <v>993</v>
      </c>
      <c r="B211" s="25" t="s">
        <v>668</v>
      </c>
      <c r="C211" s="25" t="s">
        <v>669</v>
      </c>
      <c r="D211" s="25" t="s">
        <v>670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961.5</f>
        <v>961.5</v>
      </c>
      <c r="L211" s="32" t="s">
        <v>904</v>
      </c>
      <c r="M211" s="31">
        <f>969</f>
        <v>969</v>
      </c>
      <c r="N211" s="32" t="s">
        <v>815</v>
      </c>
      <c r="O211" s="31">
        <f>959.1</f>
        <v>959.1</v>
      </c>
      <c r="P211" s="32" t="s">
        <v>813</v>
      </c>
      <c r="Q211" s="31">
        <f>967.7</f>
        <v>967.7</v>
      </c>
      <c r="R211" s="32" t="s">
        <v>936</v>
      </c>
      <c r="S211" s="33">
        <f>963.91</f>
        <v>963.91</v>
      </c>
      <c r="T211" s="30">
        <f>3930520</f>
        <v>3930520</v>
      </c>
      <c r="U211" s="30">
        <f>3057830</f>
        <v>3057830</v>
      </c>
      <c r="V211" s="30">
        <f>3800379819</f>
        <v>3800379819</v>
      </c>
      <c r="W211" s="30">
        <f>2958167873</f>
        <v>2958167873</v>
      </c>
      <c r="X211" s="34">
        <f>20</f>
        <v>20</v>
      </c>
    </row>
    <row r="212" spans="1:24" x14ac:dyDescent="0.15">
      <c r="A212" s="25" t="s">
        <v>993</v>
      </c>
      <c r="B212" s="25" t="s">
        <v>671</v>
      </c>
      <c r="C212" s="25" t="s">
        <v>672</v>
      </c>
      <c r="D212" s="25" t="s">
        <v>673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1032.5</f>
        <v>1032.5</v>
      </c>
      <c r="L212" s="32" t="s">
        <v>904</v>
      </c>
      <c r="M212" s="31">
        <f>1044</f>
        <v>1044</v>
      </c>
      <c r="N212" s="32" t="s">
        <v>266</v>
      </c>
      <c r="O212" s="31">
        <f>1018</f>
        <v>1018</v>
      </c>
      <c r="P212" s="32" t="s">
        <v>912</v>
      </c>
      <c r="Q212" s="31">
        <f>1026.5</f>
        <v>1026.5</v>
      </c>
      <c r="R212" s="32" t="s">
        <v>936</v>
      </c>
      <c r="S212" s="33">
        <f>1033.6</f>
        <v>1033.5999999999999</v>
      </c>
      <c r="T212" s="30">
        <f>2660030</f>
        <v>2660030</v>
      </c>
      <c r="U212" s="30">
        <f>1792710</f>
        <v>1792710</v>
      </c>
      <c r="V212" s="30">
        <f>2750223022</f>
        <v>2750223022</v>
      </c>
      <c r="W212" s="30">
        <f>1851904592</f>
        <v>1851904592</v>
      </c>
      <c r="X212" s="34">
        <f>20</f>
        <v>20</v>
      </c>
    </row>
    <row r="213" spans="1:24" x14ac:dyDescent="0.15">
      <c r="A213" s="25" t="s">
        <v>993</v>
      </c>
      <c r="B213" s="25" t="s">
        <v>674</v>
      </c>
      <c r="C213" s="25" t="s">
        <v>675</v>
      </c>
      <c r="D213" s="25" t="s">
        <v>676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892.3</f>
        <v>892.3</v>
      </c>
      <c r="L213" s="32" t="s">
        <v>904</v>
      </c>
      <c r="M213" s="31">
        <f>917</f>
        <v>917</v>
      </c>
      <c r="N213" s="32" t="s">
        <v>936</v>
      </c>
      <c r="O213" s="31">
        <f>891.1</f>
        <v>891.1</v>
      </c>
      <c r="P213" s="32" t="s">
        <v>821</v>
      </c>
      <c r="Q213" s="31">
        <f>915</f>
        <v>915</v>
      </c>
      <c r="R213" s="32" t="s">
        <v>936</v>
      </c>
      <c r="S213" s="33">
        <f>900.75</f>
        <v>900.75</v>
      </c>
      <c r="T213" s="30">
        <f>9207480</f>
        <v>9207480</v>
      </c>
      <c r="U213" s="30">
        <f>7294350</f>
        <v>7294350</v>
      </c>
      <c r="V213" s="30">
        <f>8329172447</f>
        <v>8329172447</v>
      </c>
      <c r="W213" s="30">
        <f>6604978044</f>
        <v>6604978044</v>
      </c>
      <c r="X213" s="34">
        <f>20</f>
        <v>20</v>
      </c>
    </row>
    <row r="214" spans="1:24" x14ac:dyDescent="0.15">
      <c r="A214" s="25" t="s">
        <v>993</v>
      </c>
      <c r="B214" s="25" t="s">
        <v>677</v>
      </c>
      <c r="C214" s="25" t="s">
        <v>678</v>
      </c>
      <c r="D214" s="25" t="s">
        <v>679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1583</f>
        <v>1583</v>
      </c>
      <c r="L214" s="32" t="s">
        <v>904</v>
      </c>
      <c r="M214" s="31">
        <f>1679</f>
        <v>1679</v>
      </c>
      <c r="N214" s="32" t="s">
        <v>266</v>
      </c>
      <c r="O214" s="31">
        <f>1553</f>
        <v>1553</v>
      </c>
      <c r="P214" s="32" t="s">
        <v>904</v>
      </c>
      <c r="Q214" s="31">
        <f>1633.5</f>
        <v>1633.5</v>
      </c>
      <c r="R214" s="32" t="s">
        <v>936</v>
      </c>
      <c r="S214" s="33">
        <f>1621.75</f>
        <v>1621.75</v>
      </c>
      <c r="T214" s="30">
        <f>1825460</f>
        <v>1825460</v>
      </c>
      <c r="U214" s="30">
        <f>1358960</f>
        <v>1358960</v>
      </c>
      <c r="V214" s="30">
        <f>3008230373</f>
        <v>3008230373</v>
      </c>
      <c r="W214" s="30">
        <f>2248836368</f>
        <v>2248836368</v>
      </c>
      <c r="X214" s="34">
        <f>20</f>
        <v>20</v>
      </c>
    </row>
    <row r="215" spans="1:24" x14ac:dyDescent="0.15">
      <c r="A215" s="25" t="s">
        <v>993</v>
      </c>
      <c r="B215" s="25" t="s">
        <v>680</v>
      </c>
      <c r="C215" s="25" t="s">
        <v>681</v>
      </c>
      <c r="D215" s="25" t="s">
        <v>682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1270.5</f>
        <v>1270.5</v>
      </c>
      <c r="L215" s="32" t="s">
        <v>904</v>
      </c>
      <c r="M215" s="31">
        <f>1370.5</f>
        <v>1370.5</v>
      </c>
      <c r="N215" s="32" t="s">
        <v>936</v>
      </c>
      <c r="O215" s="31">
        <f>1261</f>
        <v>1261</v>
      </c>
      <c r="P215" s="32" t="s">
        <v>904</v>
      </c>
      <c r="Q215" s="31">
        <f>1364</f>
        <v>1364</v>
      </c>
      <c r="R215" s="32" t="s">
        <v>936</v>
      </c>
      <c r="S215" s="33">
        <f>1304.58</f>
        <v>1304.58</v>
      </c>
      <c r="T215" s="30">
        <f>2282680</f>
        <v>2282680</v>
      </c>
      <c r="U215" s="30">
        <f>1859280</f>
        <v>1859280</v>
      </c>
      <c r="V215" s="30">
        <f>3013152333</f>
        <v>3013152333</v>
      </c>
      <c r="W215" s="30">
        <f>2458840948</f>
        <v>2458840948</v>
      </c>
      <c r="X215" s="34">
        <f>20</f>
        <v>20</v>
      </c>
    </row>
    <row r="216" spans="1:24" x14ac:dyDescent="0.15">
      <c r="A216" s="25" t="s">
        <v>993</v>
      </c>
      <c r="B216" s="25" t="s">
        <v>683</v>
      </c>
      <c r="C216" s="25" t="s">
        <v>684</v>
      </c>
      <c r="D216" s="25" t="s">
        <v>685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1245</f>
        <v>1245</v>
      </c>
      <c r="L216" s="32" t="s">
        <v>904</v>
      </c>
      <c r="M216" s="31">
        <f>1318</f>
        <v>1318</v>
      </c>
      <c r="N216" s="32" t="s">
        <v>936</v>
      </c>
      <c r="O216" s="31">
        <f>1215</f>
        <v>1215</v>
      </c>
      <c r="P216" s="32" t="s">
        <v>904</v>
      </c>
      <c r="Q216" s="31">
        <f>1307.5</f>
        <v>1307.5</v>
      </c>
      <c r="R216" s="32" t="s">
        <v>936</v>
      </c>
      <c r="S216" s="33">
        <f>1265.4</f>
        <v>1265.4000000000001</v>
      </c>
      <c r="T216" s="30">
        <f>220430</f>
        <v>220430</v>
      </c>
      <c r="U216" s="30">
        <f>39780</f>
        <v>39780</v>
      </c>
      <c r="V216" s="30">
        <f>280345945</f>
        <v>280345945</v>
      </c>
      <c r="W216" s="30">
        <f>50808260</f>
        <v>50808260</v>
      </c>
      <c r="X216" s="34">
        <f>20</f>
        <v>20</v>
      </c>
    </row>
    <row r="217" spans="1:24" x14ac:dyDescent="0.15">
      <c r="A217" s="25" t="s">
        <v>993</v>
      </c>
      <c r="B217" s="25" t="s">
        <v>686</v>
      </c>
      <c r="C217" s="25" t="s">
        <v>687</v>
      </c>
      <c r="D217" s="25" t="s">
        <v>688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509.6</f>
        <v>509.6</v>
      </c>
      <c r="L217" s="32" t="s">
        <v>904</v>
      </c>
      <c r="M217" s="31">
        <f>558.1</f>
        <v>558.1</v>
      </c>
      <c r="N217" s="32" t="s">
        <v>936</v>
      </c>
      <c r="O217" s="31">
        <f>495.6</f>
        <v>495.6</v>
      </c>
      <c r="P217" s="32" t="s">
        <v>904</v>
      </c>
      <c r="Q217" s="31">
        <f>553.7</f>
        <v>553.70000000000005</v>
      </c>
      <c r="R217" s="32" t="s">
        <v>936</v>
      </c>
      <c r="S217" s="33">
        <f>528.12</f>
        <v>528.12</v>
      </c>
      <c r="T217" s="30">
        <f>45974080</f>
        <v>45974080</v>
      </c>
      <c r="U217" s="30">
        <f>475460</f>
        <v>475460</v>
      </c>
      <c r="V217" s="30">
        <f>24328140382</f>
        <v>24328140382</v>
      </c>
      <c r="W217" s="30">
        <f>249928887</f>
        <v>249928887</v>
      </c>
      <c r="X217" s="34">
        <f>20</f>
        <v>20</v>
      </c>
    </row>
    <row r="218" spans="1:24" x14ac:dyDescent="0.15">
      <c r="A218" s="25" t="s">
        <v>993</v>
      </c>
      <c r="B218" s="25" t="s">
        <v>689</v>
      </c>
      <c r="C218" s="25" t="s">
        <v>690</v>
      </c>
      <c r="D218" s="25" t="s">
        <v>691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1152</f>
        <v>1152</v>
      </c>
      <c r="L218" s="32" t="s">
        <v>904</v>
      </c>
      <c r="M218" s="31">
        <f>1194</f>
        <v>1194</v>
      </c>
      <c r="N218" s="32" t="s">
        <v>936</v>
      </c>
      <c r="O218" s="31">
        <f>1139</f>
        <v>1139</v>
      </c>
      <c r="P218" s="32" t="s">
        <v>904</v>
      </c>
      <c r="Q218" s="31">
        <f>1194</f>
        <v>1194</v>
      </c>
      <c r="R218" s="32" t="s">
        <v>936</v>
      </c>
      <c r="S218" s="33">
        <f>1161.83</f>
        <v>1161.83</v>
      </c>
      <c r="T218" s="30">
        <f>435880</f>
        <v>435880</v>
      </c>
      <c r="U218" s="30">
        <f>68860</f>
        <v>68860</v>
      </c>
      <c r="V218" s="30">
        <f>505965775</f>
        <v>505965775</v>
      </c>
      <c r="W218" s="30">
        <f>79996140</f>
        <v>79996140</v>
      </c>
      <c r="X218" s="34">
        <f>20</f>
        <v>20</v>
      </c>
    </row>
    <row r="219" spans="1:24" x14ac:dyDescent="0.15">
      <c r="A219" s="25" t="s">
        <v>993</v>
      </c>
      <c r="B219" s="25" t="s">
        <v>692</v>
      </c>
      <c r="C219" s="25" t="s">
        <v>693</v>
      </c>
      <c r="D219" s="25" t="s">
        <v>694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1044</f>
        <v>1044</v>
      </c>
      <c r="L219" s="32" t="s">
        <v>904</v>
      </c>
      <c r="M219" s="31">
        <f>1150</f>
        <v>1150</v>
      </c>
      <c r="N219" s="32" t="s">
        <v>815</v>
      </c>
      <c r="O219" s="31">
        <f>1027</f>
        <v>1027</v>
      </c>
      <c r="P219" s="32" t="s">
        <v>904</v>
      </c>
      <c r="Q219" s="31">
        <f>1092</f>
        <v>1092</v>
      </c>
      <c r="R219" s="32" t="s">
        <v>936</v>
      </c>
      <c r="S219" s="33">
        <f>1072.3</f>
        <v>1072.3</v>
      </c>
      <c r="T219" s="30">
        <f>58792</f>
        <v>58792</v>
      </c>
      <c r="U219" s="30">
        <f>12</f>
        <v>12</v>
      </c>
      <c r="V219" s="30">
        <f>63786668</f>
        <v>63786668</v>
      </c>
      <c r="W219" s="30">
        <f>13103</f>
        <v>13103</v>
      </c>
      <c r="X219" s="34">
        <f>20</f>
        <v>20</v>
      </c>
    </row>
    <row r="220" spans="1:24" x14ac:dyDescent="0.15">
      <c r="A220" s="25" t="s">
        <v>993</v>
      </c>
      <c r="B220" s="25" t="s">
        <v>696</v>
      </c>
      <c r="C220" s="25" t="s">
        <v>697</v>
      </c>
      <c r="D220" s="25" t="s">
        <v>698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911.8</f>
        <v>911.8</v>
      </c>
      <c r="L220" s="32" t="s">
        <v>904</v>
      </c>
      <c r="M220" s="31">
        <f>935</f>
        <v>935</v>
      </c>
      <c r="N220" s="32" t="s">
        <v>811</v>
      </c>
      <c r="O220" s="31">
        <f>901</f>
        <v>901</v>
      </c>
      <c r="P220" s="32" t="s">
        <v>56</v>
      </c>
      <c r="Q220" s="31">
        <f>915.5</f>
        <v>915.5</v>
      </c>
      <c r="R220" s="32" t="s">
        <v>936</v>
      </c>
      <c r="S220" s="33">
        <f>914.31</f>
        <v>914.31</v>
      </c>
      <c r="T220" s="30">
        <f>131290</f>
        <v>131290</v>
      </c>
      <c r="U220" s="30">
        <f>84600</f>
        <v>84600</v>
      </c>
      <c r="V220" s="30">
        <f>120819594</f>
        <v>120819594</v>
      </c>
      <c r="W220" s="30">
        <f>78085800</f>
        <v>78085800</v>
      </c>
      <c r="X220" s="34">
        <f>20</f>
        <v>20</v>
      </c>
    </row>
    <row r="221" spans="1:24" x14ac:dyDescent="0.15">
      <c r="A221" s="25" t="s">
        <v>993</v>
      </c>
      <c r="B221" s="25" t="s">
        <v>699</v>
      </c>
      <c r="C221" s="25" t="s">
        <v>700</v>
      </c>
      <c r="D221" s="25" t="s">
        <v>701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1195</f>
        <v>1195</v>
      </c>
      <c r="L221" s="32" t="s">
        <v>904</v>
      </c>
      <c r="M221" s="31">
        <f>1203</f>
        <v>1203</v>
      </c>
      <c r="N221" s="32" t="s">
        <v>87</v>
      </c>
      <c r="O221" s="31">
        <f>1159.5</f>
        <v>1159.5</v>
      </c>
      <c r="P221" s="32" t="s">
        <v>80</v>
      </c>
      <c r="Q221" s="31">
        <f>1161.5</f>
        <v>1161.5</v>
      </c>
      <c r="R221" s="32" t="s">
        <v>936</v>
      </c>
      <c r="S221" s="33">
        <f>1179.15</f>
        <v>1179.1500000000001</v>
      </c>
      <c r="T221" s="30">
        <f>96060</f>
        <v>96060</v>
      </c>
      <c r="U221" s="30">
        <f>67610</f>
        <v>67610</v>
      </c>
      <c r="V221" s="30">
        <f>113748285</f>
        <v>113748285</v>
      </c>
      <c r="W221" s="30">
        <f>80050240</f>
        <v>80050240</v>
      </c>
      <c r="X221" s="34">
        <f>20</f>
        <v>20</v>
      </c>
    </row>
    <row r="222" spans="1:24" x14ac:dyDescent="0.15">
      <c r="A222" s="25" t="s">
        <v>993</v>
      </c>
      <c r="B222" s="25" t="s">
        <v>702</v>
      </c>
      <c r="C222" s="25" t="s">
        <v>703</v>
      </c>
      <c r="D222" s="25" t="s">
        <v>704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1309</f>
        <v>1309</v>
      </c>
      <c r="L222" s="32" t="s">
        <v>904</v>
      </c>
      <c r="M222" s="31">
        <f>1416.5</f>
        <v>1416.5</v>
      </c>
      <c r="N222" s="32" t="s">
        <v>936</v>
      </c>
      <c r="O222" s="31">
        <f>1293.5</f>
        <v>1293.5</v>
      </c>
      <c r="P222" s="32" t="s">
        <v>904</v>
      </c>
      <c r="Q222" s="31">
        <f>1416.5</f>
        <v>1416.5</v>
      </c>
      <c r="R222" s="32" t="s">
        <v>936</v>
      </c>
      <c r="S222" s="33">
        <f>1343.25</f>
        <v>1343.25</v>
      </c>
      <c r="T222" s="30">
        <f>13282270</f>
        <v>13282270</v>
      </c>
      <c r="U222" s="30">
        <f>6983570</f>
        <v>6983570</v>
      </c>
      <c r="V222" s="30">
        <f>17762858099</f>
        <v>17762858099</v>
      </c>
      <c r="W222" s="30">
        <f>9282744494</f>
        <v>9282744494</v>
      </c>
      <c r="X222" s="34">
        <f>20</f>
        <v>20</v>
      </c>
    </row>
    <row r="223" spans="1:24" x14ac:dyDescent="0.15">
      <c r="A223" s="25" t="s">
        <v>993</v>
      </c>
      <c r="B223" s="25" t="s">
        <v>705</v>
      </c>
      <c r="C223" s="25" t="s">
        <v>706</v>
      </c>
      <c r="D223" s="25" t="s">
        <v>707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3275</f>
        <v>3275</v>
      </c>
      <c r="L223" s="32" t="s">
        <v>904</v>
      </c>
      <c r="M223" s="31">
        <f>3640</f>
        <v>3640</v>
      </c>
      <c r="N223" s="32" t="s">
        <v>908</v>
      </c>
      <c r="O223" s="31">
        <f>3210</f>
        <v>3210</v>
      </c>
      <c r="P223" s="32" t="s">
        <v>904</v>
      </c>
      <c r="Q223" s="31">
        <f>3570</f>
        <v>3570</v>
      </c>
      <c r="R223" s="32" t="s">
        <v>936</v>
      </c>
      <c r="S223" s="33">
        <f>3416.75</f>
        <v>3416.75</v>
      </c>
      <c r="T223" s="30">
        <f>33466</f>
        <v>33466</v>
      </c>
      <c r="U223" s="30" t="str">
        <f>"－"</f>
        <v>－</v>
      </c>
      <c r="V223" s="30">
        <f>117921640</f>
        <v>117921640</v>
      </c>
      <c r="W223" s="30" t="str">
        <f>"－"</f>
        <v>－</v>
      </c>
      <c r="X223" s="34">
        <f>20</f>
        <v>20</v>
      </c>
    </row>
    <row r="224" spans="1:24" x14ac:dyDescent="0.15">
      <c r="A224" s="25" t="s">
        <v>993</v>
      </c>
      <c r="B224" s="25" t="s">
        <v>708</v>
      </c>
      <c r="C224" s="25" t="s">
        <v>709</v>
      </c>
      <c r="D224" s="25" t="s">
        <v>710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1515</f>
        <v>1515</v>
      </c>
      <c r="L224" s="32" t="s">
        <v>904</v>
      </c>
      <c r="M224" s="31">
        <f>1700</f>
        <v>1700</v>
      </c>
      <c r="N224" s="32" t="s">
        <v>94</v>
      </c>
      <c r="O224" s="31">
        <f>1473</f>
        <v>1473</v>
      </c>
      <c r="P224" s="32" t="s">
        <v>70</v>
      </c>
      <c r="Q224" s="31">
        <f>1637</f>
        <v>1637</v>
      </c>
      <c r="R224" s="32" t="s">
        <v>936</v>
      </c>
      <c r="S224" s="33">
        <f>1540.24</f>
        <v>1540.24</v>
      </c>
      <c r="T224" s="30">
        <f>16870</f>
        <v>16870</v>
      </c>
      <c r="U224" s="30" t="str">
        <f>"－"</f>
        <v>－</v>
      </c>
      <c r="V224" s="30">
        <f>28028010</f>
        <v>28028010</v>
      </c>
      <c r="W224" s="30" t="str">
        <f>"－"</f>
        <v>－</v>
      </c>
      <c r="X224" s="34">
        <f>19</f>
        <v>19</v>
      </c>
    </row>
    <row r="225" spans="1:24" x14ac:dyDescent="0.15">
      <c r="A225" s="25" t="s">
        <v>993</v>
      </c>
      <c r="B225" s="25" t="s">
        <v>711</v>
      </c>
      <c r="C225" s="25" t="s">
        <v>712</v>
      </c>
      <c r="D225" s="25" t="s">
        <v>713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1911.5</f>
        <v>1911.5</v>
      </c>
      <c r="L225" s="32" t="s">
        <v>904</v>
      </c>
      <c r="M225" s="31">
        <f>2008</f>
        <v>2008</v>
      </c>
      <c r="N225" s="32" t="s">
        <v>908</v>
      </c>
      <c r="O225" s="31">
        <f>1896</f>
        <v>1896</v>
      </c>
      <c r="P225" s="32" t="s">
        <v>904</v>
      </c>
      <c r="Q225" s="31">
        <f>1987.5</f>
        <v>1987.5</v>
      </c>
      <c r="R225" s="32" t="s">
        <v>936</v>
      </c>
      <c r="S225" s="33">
        <f>1959.61</f>
        <v>1959.61</v>
      </c>
      <c r="T225" s="30">
        <f>1397030</f>
        <v>1397030</v>
      </c>
      <c r="U225" s="30">
        <f>207000</f>
        <v>207000</v>
      </c>
      <c r="V225" s="30">
        <f>2730325375</f>
        <v>2730325375</v>
      </c>
      <c r="W225" s="30">
        <f>405508200</f>
        <v>405508200</v>
      </c>
      <c r="X225" s="34">
        <f>19</f>
        <v>19</v>
      </c>
    </row>
    <row r="226" spans="1:24" x14ac:dyDescent="0.15">
      <c r="A226" s="25" t="s">
        <v>993</v>
      </c>
      <c r="B226" s="25" t="s">
        <v>714</v>
      </c>
      <c r="C226" s="25" t="s">
        <v>715</v>
      </c>
      <c r="D226" s="25" t="s">
        <v>716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26885</f>
        <v>26885</v>
      </c>
      <c r="L226" s="32" t="s">
        <v>904</v>
      </c>
      <c r="M226" s="31">
        <f>28430</f>
        <v>28430</v>
      </c>
      <c r="N226" s="32" t="s">
        <v>936</v>
      </c>
      <c r="O226" s="31">
        <f>26575</f>
        <v>26575</v>
      </c>
      <c r="P226" s="32" t="s">
        <v>80</v>
      </c>
      <c r="Q226" s="31">
        <f>28430</f>
        <v>28430</v>
      </c>
      <c r="R226" s="32" t="s">
        <v>936</v>
      </c>
      <c r="S226" s="33">
        <f>27496.82</f>
        <v>27496.82</v>
      </c>
      <c r="T226" s="30">
        <f>9529</f>
        <v>9529</v>
      </c>
      <c r="U226" s="30">
        <f>8700</f>
        <v>8700</v>
      </c>
      <c r="V226" s="30">
        <f>255694075</f>
        <v>255694075</v>
      </c>
      <c r="W226" s="30">
        <f>232933800</f>
        <v>232933800</v>
      </c>
      <c r="X226" s="34">
        <f>11</f>
        <v>11</v>
      </c>
    </row>
    <row r="227" spans="1:24" x14ac:dyDescent="0.15">
      <c r="A227" s="25" t="s">
        <v>993</v>
      </c>
      <c r="B227" s="25" t="s">
        <v>717</v>
      </c>
      <c r="C227" s="25" t="s">
        <v>718</v>
      </c>
      <c r="D227" s="25" t="s">
        <v>719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17710</f>
        <v>17710</v>
      </c>
      <c r="L227" s="32" t="s">
        <v>821</v>
      </c>
      <c r="M227" s="31">
        <f>17710</f>
        <v>17710</v>
      </c>
      <c r="N227" s="32" t="s">
        <v>821</v>
      </c>
      <c r="O227" s="31">
        <f>17365</f>
        <v>17365</v>
      </c>
      <c r="P227" s="32" t="s">
        <v>56</v>
      </c>
      <c r="Q227" s="31">
        <f>17365</f>
        <v>17365</v>
      </c>
      <c r="R227" s="32" t="s">
        <v>56</v>
      </c>
      <c r="S227" s="33">
        <f>17537.5</f>
        <v>17537.5</v>
      </c>
      <c r="T227" s="30">
        <f>2</f>
        <v>2</v>
      </c>
      <c r="U227" s="30" t="str">
        <f>"－"</f>
        <v>－</v>
      </c>
      <c r="V227" s="30">
        <f>35075</f>
        <v>35075</v>
      </c>
      <c r="W227" s="30" t="str">
        <f>"－"</f>
        <v>－</v>
      </c>
      <c r="X227" s="34">
        <f>2</f>
        <v>2</v>
      </c>
    </row>
    <row r="228" spans="1:24" x14ac:dyDescent="0.15">
      <c r="A228" s="25" t="s">
        <v>993</v>
      </c>
      <c r="B228" s="25" t="s">
        <v>720</v>
      </c>
      <c r="C228" s="25" t="s">
        <v>721</v>
      </c>
      <c r="D228" s="25" t="s">
        <v>722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1156</f>
        <v>1156</v>
      </c>
      <c r="L228" s="32" t="s">
        <v>904</v>
      </c>
      <c r="M228" s="31">
        <f>1180</f>
        <v>1180</v>
      </c>
      <c r="N228" s="32" t="s">
        <v>936</v>
      </c>
      <c r="O228" s="31">
        <f>1149</f>
        <v>1149</v>
      </c>
      <c r="P228" s="32" t="s">
        <v>695</v>
      </c>
      <c r="Q228" s="31">
        <f>1180</f>
        <v>1180</v>
      </c>
      <c r="R228" s="32" t="s">
        <v>936</v>
      </c>
      <c r="S228" s="33">
        <f>1165.17</f>
        <v>1165.17</v>
      </c>
      <c r="T228" s="30">
        <f>270240</f>
        <v>270240</v>
      </c>
      <c r="U228" s="30" t="str">
        <f>"－"</f>
        <v>－</v>
      </c>
      <c r="V228" s="30">
        <f>312733670</f>
        <v>312733670</v>
      </c>
      <c r="W228" s="30" t="str">
        <f>"－"</f>
        <v>－</v>
      </c>
      <c r="X228" s="34">
        <f>9</f>
        <v>9</v>
      </c>
    </row>
    <row r="229" spans="1:24" x14ac:dyDescent="0.15">
      <c r="A229" s="25" t="s">
        <v>993</v>
      </c>
      <c r="B229" s="25" t="s">
        <v>723</v>
      </c>
      <c r="C229" s="25" t="s">
        <v>724</v>
      </c>
      <c r="D229" s="25" t="s">
        <v>725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1143</f>
        <v>1143</v>
      </c>
      <c r="L229" s="32" t="s">
        <v>904</v>
      </c>
      <c r="M229" s="31">
        <f>1184.5</f>
        <v>1184.5</v>
      </c>
      <c r="N229" s="32" t="s">
        <v>936</v>
      </c>
      <c r="O229" s="31">
        <f>1135</f>
        <v>1135</v>
      </c>
      <c r="P229" s="32" t="s">
        <v>904</v>
      </c>
      <c r="Q229" s="31">
        <f>1182.5</f>
        <v>1182.5</v>
      </c>
      <c r="R229" s="32" t="s">
        <v>936</v>
      </c>
      <c r="S229" s="33">
        <f>1157.19</f>
        <v>1157.19</v>
      </c>
      <c r="T229" s="30">
        <f>57630</f>
        <v>57630</v>
      </c>
      <c r="U229" s="30" t="str">
        <f>"－"</f>
        <v>－</v>
      </c>
      <c r="V229" s="30">
        <f>66439685</f>
        <v>66439685</v>
      </c>
      <c r="W229" s="30" t="str">
        <f>"－"</f>
        <v>－</v>
      </c>
      <c r="X229" s="34">
        <f>18</f>
        <v>18</v>
      </c>
    </row>
    <row r="230" spans="1:24" x14ac:dyDescent="0.15">
      <c r="A230" s="25" t="s">
        <v>993</v>
      </c>
      <c r="B230" s="25" t="s">
        <v>726</v>
      </c>
      <c r="C230" s="25" t="s">
        <v>727</v>
      </c>
      <c r="D230" s="25" t="s">
        <v>728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1208</f>
        <v>1208</v>
      </c>
      <c r="L230" s="32" t="s">
        <v>904</v>
      </c>
      <c r="M230" s="31">
        <f>1250</f>
        <v>1250</v>
      </c>
      <c r="N230" s="32" t="s">
        <v>94</v>
      </c>
      <c r="O230" s="31">
        <f>1176</f>
        <v>1176</v>
      </c>
      <c r="P230" s="32" t="s">
        <v>80</v>
      </c>
      <c r="Q230" s="31">
        <f>1237</f>
        <v>1237</v>
      </c>
      <c r="R230" s="32" t="s">
        <v>936</v>
      </c>
      <c r="S230" s="33">
        <f>1215.95</f>
        <v>1215.95</v>
      </c>
      <c r="T230" s="30">
        <f>47874</f>
        <v>47874</v>
      </c>
      <c r="U230" s="30">
        <f>9</f>
        <v>9</v>
      </c>
      <c r="V230" s="30">
        <f>57981447</f>
        <v>57981447</v>
      </c>
      <c r="W230" s="30">
        <f>10880</f>
        <v>10880</v>
      </c>
      <c r="X230" s="34">
        <f>20</f>
        <v>20</v>
      </c>
    </row>
    <row r="231" spans="1:24" x14ac:dyDescent="0.15">
      <c r="A231" s="25" t="s">
        <v>993</v>
      </c>
      <c r="B231" s="25" t="s">
        <v>729</v>
      </c>
      <c r="C231" s="25" t="s">
        <v>730</v>
      </c>
      <c r="D231" s="25" t="s">
        <v>731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15235</f>
        <v>15235</v>
      </c>
      <c r="L231" s="32" t="s">
        <v>904</v>
      </c>
      <c r="M231" s="31">
        <f>15300</f>
        <v>15300</v>
      </c>
      <c r="N231" s="32" t="s">
        <v>811</v>
      </c>
      <c r="O231" s="31">
        <f>13870</f>
        <v>13870</v>
      </c>
      <c r="P231" s="32" t="s">
        <v>815</v>
      </c>
      <c r="Q231" s="31">
        <f>14000</f>
        <v>14000</v>
      </c>
      <c r="R231" s="32" t="s">
        <v>936</v>
      </c>
      <c r="S231" s="33">
        <f>14449.47</f>
        <v>14449.47</v>
      </c>
      <c r="T231" s="30">
        <f>3186</f>
        <v>3186</v>
      </c>
      <c r="U231" s="30">
        <f>2</f>
        <v>2</v>
      </c>
      <c r="V231" s="30">
        <f>46774470</f>
        <v>46774470</v>
      </c>
      <c r="W231" s="30">
        <f>29260</f>
        <v>29260</v>
      </c>
      <c r="X231" s="34">
        <f>19</f>
        <v>19</v>
      </c>
    </row>
    <row r="232" spans="1:24" x14ac:dyDescent="0.15">
      <c r="A232" s="25" t="s">
        <v>993</v>
      </c>
      <c r="B232" s="25" t="s">
        <v>732</v>
      </c>
      <c r="C232" s="25" t="s">
        <v>733</v>
      </c>
      <c r="D232" s="25" t="s">
        <v>734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2104</f>
        <v>2104</v>
      </c>
      <c r="L232" s="32" t="s">
        <v>904</v>
      </c>
      <c r="M232" s="31">
        <f>2170</f>
        <v>2170</v>
      </c>
      <c r="N232" s="32" t="s">
        <v>936</v>
      </c>
      <c r="O232" s="31">
        <f>2076</f>
        <v>2076</v>
      </c>
      <c r="P232" s="32" t="s">
        <v>904</v>
      </c>
      <c r="Q232" s="31">
        <f>2169</f>
        <v>2169</v>
      </c>
      <c r="R232" s="32" t="s">
        <v>936</v>
      </c>
      <c r="S232" s="33">
        <f>2118.5</f>
        <v>2118.5</v>
      </c>
      <c r="T232" s="30">
        <f>7725</f>
        <v>7725</v>
      </c>
      <c r="U232" s="30" t="str">
        <f>"－"</f>
        <v>－</v>
      </c>
      <c r="V232" s="30">
        <f>16369157</f>
        <v>16369157</v>
      </c>
      <c r="W232" s="30" t="str">
        <f>"－"</f>
        <v>－</v>
      </c>
      <c r="X232" s="34">
        <f>20</f>
        <v>20</v>
      </c>
    </row>
    <row r="233" spans="1:24" x14ac:dyDescent="0.15">
      <c r="A233" s="25" t="s">
        <v>993</v>
      </c>
      <c r="B233" s="25" t="s">
        <v>735</v>
      </c>
      <c r="C233" s="25" t="s">
        <v>736</v>
      </c>
      <c r="D233" s="25" t="s">
        <v>737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1760</f>
        <v>1760</v>
      </c>
      <c r="L233" s="32" t="s">
        <v>904</v>
      </c>
      <c r="M233" s="31">
        <f>1880</f>
        <v>1880</v>
      </c>
      <c r="N233" s="32" t="s">
        <v>811</v>
      </c>
      <c r="O233" s="31">
        <f>1674</f>
        <v>1674</v>
      </c>
      <c r="P233" s="32" t="s">
        <v>56</v>
      </c>
      <c r="Q233" s="31">
        <f>1693</f>
        <v>1693</v>
      </c>
      <c r="R233" s="32" t="s">
        <v>936</v>
      </c>
      <c r="S233" s="33">
        <f>1725.21</f>
        <v>1725.21</v>
      </c>
      <c r="T233" s="30">
        <f>2270</f>
        <v>2270</v>
      </c>
      <c r="U233" s="30" t="str">
        <f>"－"</f>
        <v>－</v>
      </c>
      <c r="V233" s="30">
        <f>3988555</f>
        <v>3988555</v>
      </c>
      <c r="W233" s="30" t="str">
        <f>"－"</f>
        <v>－</v>
      </c>
      <c r="X233" s="34">
        <f>17</f>
        <v>17</v>
      </c>
    </row>
    <row r="234" spans="1:24" x14ac:dyDescent="0.15">
      <c r="A234" s="25" t="s">
        <v>993</v>
      </c>
      <c r="B234" s="25" t="s">
        <v>738</v>
      </c>
      <c r="C234" s="25" t="s">
        <v>822</v>
      </c>
      <c r="D234" s="25" t="s">
        <v>823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878.2</f>
        <v>878.2</v>
      </c>
      <c r="L234" s="32" t="s">
        <v>904</v>
      </c>
      <c r="M234" s="31">
        <f>903.1</f>
        <v>903.1</v>
      </c>
      <c r="N234" s="32" t="s">
        <v>936</v>
      </c>
      <c r="O234" s="31">
        <f>878.2</f>
        <v>878.2</v>
      </c>
      <c r="P234" s="32" t="s">
        <v>904</v>
      </c>
      <c r="Q234" s="31">
        <f>903.1</f>
        <v>903.1</v>
      </c>
      <c r="R234" s="32" t="s">
        <v>936</v>
      </c>
      <c r="S234" s="33">
        <f>888.94</f>
        <v>888.94</v>
      </c>
      <c r="T234" s="30">
        <f>813740</f>
        <v>813740</v>
      </c>
      <c r="U234" s="30">
        <f>625270</f>
        <v>625270</v>
      </c>
      <c r="V234" s="30">
        <f>726487892</f>
        <v>726487892</v>
      </c>
      <c r="W234" s="30">
        <f>559179216</f>
        <v>559179216</v>
      </c>
      <c r="X234" s="34">
        <f>20</f>
        <v>20</v>
      </c>
    </row>
    <row r="235" spans="1:24" x14ac:dyDescent="0.15">
      <c r="A235" s="25" t="s">
        <v>993</v>
      </c>
      <c r="B235" s="25" t="s">
        <v>739</v>
      </c>
      <c r="C235" s="25" t="s">
        <v>740</v>
      </c>
      <c r="D235" s="25" t="s">
        <v>741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2007.5</f>
        <v>2007.5</v>
      </c>
      <c r="L235" s="32" t="s">
        <v>904</v>
      </c>
      <c r="M235" s="31">
        <f>2063.5</f>
        <v>2063.5</v>
      </c>
      <c r="N235" s="32" t="s">
        <v>936</v>
      </c>
      <c r="O235" s="31">
        <f>1991.5</f>
        <v>1991.5</v>
      </c>
      <c r="P235" s="32" t="s">
        <v>821</v>
      </c>
      <c r="Q235" s="31">
        <f>2055.5</f>
        <v>2055.5</v>
      </c>
      <c r="R235" s="32" t="s">
        <v>936</v>
      </c>
      <c r="S235" s="33">
        <f>2017.1</f>
        <v>2017.1</v>
      </c>
      <c r="T235" s="30">
        <f>19030</f>
        <v>19030</v>
      </c>
      <c r="U235" s="30" t="str">
        <f>"－"</f>
        <v>－</v>
      </c>
      <c r="V235" s="30">
        <f>38235475</f>
        <v>38235475</v>
      </c>
      <c r="W235" s="30" t="str">
        <f>"－"</f>
        <v>－</v>
      </c>
      <c r="X235" s="34">
        <f>20</f>
        <v>20</v>
      </c>
    </row>
    <row r="236" spans="1:24" x14ac:dyDescent="0.15">
      <c r="A236" s="25" t="s">
        <v>993</v>
      </c>
      <c r="B236" s="25" t="s">
        <v>742</v>
      </c>
      <c r="C236" s="25" t="s">
        <v>743</v>
      </c>
      <c r="D236" s="25" t="s">
        <v>744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2022</f>
        <v>2022</v>
      </c>
      <c r="L236" s="32" t="s">
        <v>904</v>
      </c>
      <c r="M236" s="31">
        <f>2060</f>
        <v>2060</v>
      </c>
      <c r="N236" s="32" t="s">
        <v>936</v>
      </c>
      <c r="O236" s="31">
        <f>1982</f>
        <v>1982</v>
      </c>
      <c r="P236" s="32" t="s">
        <v>904</v>
      </c>
      <c r="Q236" s="31">
        <f>2058</f>
        <v>2058</v>
      </c>
      <c r="R236" s="32" t="s">
        <v>936</v>
      </c>
      <c r="S236" s="33">
        <f>2014.28</f>
        <v>2014.28</v>
      </c>
      <c r="T236" s="30">
        <f>214970</f>
        <v>214970</v>
      </c>
      <c r="U236" s="30">
        <f>57090</f>
        <v>57090</v>
      </c>
      <c r="V236" s="30">
        <f>431987815</f>
        <v>431987815</v>
      </c>
      <c r="W236" s="30">
        <f>115360660</f>
        <v>115360660</v>
      </c>
      <c r="X236" s="34">
        <f>20</f>
        <v>20</v>
      </c>
    </row>
    <row r="237" spans="1:24" x14ac:dyDescent="0.15">
      <c r="A237" s="25" t="s">
        <v>993</v>
      </c>
      <c r="B237" s="25" t="s">
        <v>745</v>
      </c>
      <c r="C237" s="25" t="s">
        <v>746</v>
      </c>
      <c r="D237" s="25" t="s">
        <v>747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1887.5</f>
        <v>1887.5</v>
      </c>
      <c r="L237" s="32" t="s">
        <v>904</v>
      </c>
      <c r="M237" s="31">
        <f>1963.5</f>
        <v>1963.5</v>
      </c>
      <c r="N237" s="32" t="s">
        <v>66</v>
      </c>
      <c r="O237" s="31">
        <f>1868</f>
        <v>1868</v>
      </c>
      <c r="P237" s="32" t="s">
        <v>80</v>
      </c>
      <c r="Q237" s="31">
        <f>1954</f>
        <v>1954</v>
      </c>
      <c r="R237" s="32" t="s">
        <v>936</v>
      </c>
      <c r="S237" s="33">
        <f>1916.79</f>
        <v>1916.79</v>
      </c>
      <c r="T237" s="30">
        <f>1650</f>
        <v>1650</v>
      </c>
      <c r="U237" s="30" t="str">
        <f>"－"</f>
        <v>－</v>
      </c>
      <c r="V237" s="30">
        <f>3173305</f>
        <v>3173305</v>
      </c>
      <c r="W237" s="30" t="str">
        <f>"－"</f>
        <v>－</v>
      </c>
      <c r="X237" s="34">
        <f>14</f>
        <v>14</v>
      </c>
    </row>
    <row r="238" spans="1:24" x14ac:dyDescent="0.15">
      <c r="A238" s="25" t="s">
        <v>993</v>
      </c>
      <c r="B238" s="25" t="s">
        <v>748</v>
      </c>
      <c r="C238" s="25" t="s">
        <v>749</v>
      </c>
      <c r="D238" s="25" t="s">
        <v>750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14765</f>
        <v>14765</v>
      </c>
      <c r="L238" s="32" t="s">
        <v>904</v>
      </c>
      <c r="M238" s="31">
        <f>15835</f>
        <v>15835</v>
      </c>
      <c r="N238" s="32" t="s">
        <v>936</v>
      </c>
      <c r="O238" s="31">
        <f>14490</f>
        <v>14490</v>
      </c>
      <c r="P238" s="32" t="s">
        <v>904</v>
      </c>
      <c r="Q238" s="31">
        <f>15665</f>
        <v>15665</v>
      </c>
      <c r="R238" s="32" t="s">
        <v>936</v>
      </c>
      <c r="S238" s="33">
        <f>15257.5</f>
        <v>15257.5</v>
      </c>
      <c r="T238" s="30">
        <f>1085466</f>
        <v>1085466</v>
      </c>
      <c r="U238" s="30">
        <f>274611</f>
        <v>274611</v>
      </c>
      <c r="V238" s="30">
        <f>16626427401</f>
        <v>16626427401</v>
      </c>
      <c r="W238" s="30">
        <f>4199917111</f>
        <v>4199917111</v>
      </c>
      <c r="X238" s="34">
        <f>20</f>
        <v>20</v>
      </c>
    </row>
    <row r="239" spans="1:24" x14ac:dyDescent="0.15">
      <c r="A239" s="25" t="s">
        <v>993</v>
      </c>
      <c r="B239" s="25" t="s">
        <v>751</v>
      </c>
      <c r="C239" s="25" t="s">
        <v>752</v>
      </c>
      <c r="D239" s="25" t="s">
        <v>753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13370</f>
        <v>13370</v>
      </c>
      <c r="L239" s="32" t="s">
        <v>904</v>
      </c>
      <c r="M239" s="31">
        <f>14010</f>
        <v>14010</v>
      </c>
      <c r="N239" s="32" t="s">
        <v>87</v>
      </c>
      <c r="O239" s="31">
        <f>13150</f>
        <v>13150</v>
      </c>
      <c r="P239" s="32" t="s">
        <v>904</v>
      </c>
      <c r="Q239" s="31">
        <f>13895</f>
        <v>13895</v>
      </c>
      <c r="R239" s="32" t="s">
        <v>936</v>
      </c>
      <c r="S239" s="33">
        <f>13669.75</f>
        <v>13669.75</v>
      </c>
      <c r="T239" s="30">
        <f>106934</f>
        <v>106934</v>
      </c>
      <c r="U239" s="30" t="str">
        <f>"－"</f>
        <v>－</v>
      </c>
      <c r="V239" s="30">
        <f>1464954030</f>
        <v>1464954030</v>
      </c>
      <c r="W239" s="30" t="str">
        <f>"－"</f>
        <v>－</v>
      </c>
      <c r="X239" s="34">
        <f>20</f>
        <v>20</v>
      </c>
    </row>
    <row r="240" spans="1:24" x14ac:dyDescent="0.15">
      <c r="A240" s="25" t="s">
        <v>993</v>
      </c>
      <c r="B240" s="25" t="s">
        <v>754</v>
      </c>
      <c r="C240" s="25" t="s">
        <v>755</v>
      </c>
      <c r="D240" s="25" t="s">
        <v>756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24970</f>
        <v>24970</v>
      </c>
      <c r="L240" s="32" t="s">
        <v>70</v>
      </c>
      <c r="M240" s="31">
        <f>25965</f>
        <v>25965</v>
      </c>
      <c r="N240" s="32" t="s">
        <v>94</v>
      </c>
      <c r="O240" s="31">
        <f>24970</f>
        <v>24970</v>
      </c>
      <c r="P240" s="32" t="s">
        <v>70</v>
      </c>
      <c r="Q240" s="31">
        <f>25935</f>
        <v>25935</v>
      </c>
      <c r="R240" s="32" t="s">
        <v>94</v>
      </c>
      <c r="S240" s="33">
        <f>25503</f>
        <v>25503</v>
      </c>
      <c r="T240" s="30">
        <f>1325</f>
        <v>1325</v>
      </c>
      <c r="U240" s="30" t="str">
        <f>"－"</f>
        <v>－</v>
      </c>
      <c r="V240" s="30">
        <f>34279660</f>
        <v>34279660</v>
      </c>
      <c r="W240" s="30" t="str">
        <f>"－"</f>
        <v>－</v>
      </c>
      <c r="X240" s="34">
        <f>10</f>
        <v>10</v>
      </c>
    </row>
    <row r="241" spans="1:24" x14ac:dyDescent="0.15">
      <c r="A241" s="25" t="s">
        <v>993</v>
      </c>
      <c r="B241" s="25" t="s">
        <v>757</v>
      </c>
      <c r="C241" s="25" t="s">
        <v>758</v>
      </c>
      <c r="D241" s="25" t="s">
        <v>759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2581</f>
        <v>2581</v>
      </c>
      <c r="L241" s="32" t="s">
        <v>904</v>
      </c>
      <c r="M241" s="31">
        <f>2596</f>
        <v>2596</v>
      </c>
      <c r="N241" s="32" t="s">
        <v>811</v>
      </c>
      <c r="O241" s="31">
        <f>2559</f>
        <v>2559</v>
      </c>
      <c r="P241" s="32" t="s">
        <v>821</v>
      </c>
      <c r="Q241" s="31">
        <f>2593</f>
        <v>2593</v>
      </c>
      <c r="R241" s="32" t="s">
        <v>936</v>
      </c>
      <c r="S241" s="33">
        <f>2579.3</f>
        <v>2579.3000000000002</v>
      </c>
      <c r="T241" s="30">
        <f>408367</f>
        <v>408367</v>
      </c>
      <c r="U241" s="30">
        <f>30627</f>
        <v>30627</v>
      </c>
      <c r="V241" s="30">
        <f>1054230003</f>
        <v>1054230003</v>
      </c>
      <c r="W241" s="30">
        <f>79442423</f>
        <v>79442423</v>
      </c>
      <c r="X241" s="34">
        <f>20</f>
        <v>20</v>
      </c>
    </row>
    <row r="242" spans="1:24" x14ac:dyDescent="0.15">
      <c r="A242" s="25" t="s">
        <v>993</v>
      </c>
      <c r="B242" s="25" t="s">
        <v>760</v>
      </c>
      <c r="C242" s="25" t="s">
        <v>761</v>
      </c>
      <c r="D242" s="25" t="s">
        <v>762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2638</f>
        <v>2638</v>
      </c>
      <c r="L242" s="32" t="s">
        <v>904</v>
      </c>
      <c r="M242" s="31">
        <f>2779</f>
        <v>2779</v>
      </c>
      <c r="N242" s="32" t="s">
        <v>936</v>
      </c>
      <c r="O242" s="31">
        <f>2613</f>
        <v>2613</v>
      </c>
      <c r="P242" s="32" t="s">
        <v>695</v>
      </c>
      <c r="Q242" s="31">
        <f>2774.5</f>
        <v>2774.5</v>
      </c>
      <c r="R242" s="32" t="s">
        <v>936</v>
      </c>
      <c r="S242" s="33">
        <f>2684.43</f>
        <v>2684.43</v>
      </c>
      <c r="T242" s="30">
        <f>1184660</f>
        <v>1184660</v>
      </c>
      <c r="U242" s="30">
        <f>1043500</f>
        <v>1043500</v>
      </c>
      <c r="V242" s="30">
        <f>3244831143</f>
        <v>3244831143</v>
      </c>
      <c r="W242" s="30">
        <f>2865962418</f>
        <v>2865962418</v>
      </c>
      <c r="X242" s="34">
        <f>20</f>
        <v>20</v>
      </c>
    </row>
    <row r="243" spans="1:24" x14ac:dyDescent="0.15">
      <c r="A243" s="25" t="s">
        <v>993</v>
      </c>
      <c r="B243" s="25" t="s">
        <v>763</v>
      </c>
      <c r="C243" s="25" t="s">
        <v>764</v>
      </c>
      <c r="D243" s="25" t="s">
        <v>765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244</f>
        <v>244</v>
      </c>
      <c r="L243" s="32" t="s">
        <v>904</v>
      </c>
      <c r="M243" s="31">
        <f>263.7</f>
        <v>263.7</v>
      </c>
      <c r="N243" s="32" t="s">
        <v>936</v>
      </c>
      <c r="O243" s="31">
        <f>241.3</f>
        <v>241.3</v>
      </c>
      <c r="P243" s="32" t="s">
        <v>904</v>
      </c>
      <c r="Q243" s="31">
        <f>263.7</f>
        <v>263.7</v>
      </c>
      <c r="R243" s="32" t="s">
        <v>936</v>
      </c>
      <c r="S243" s="33">
        <f>250.64</f>
        <v>250.64</v>
      </c>
      <c r="T243" s="30">
        <f>35448470</f>
        <v>35448470</v>
      </c>
      <c r="U243" s="30">
        <f>14520590</f>
        <v>14520590</v>
      </c>
      <c r="V243" s="30">
        <f>8928642706</f>
        <v>8928642706</v>
      </c>
      <c r="W243" s="30">
        <f>3627366392</f>
        <v>3627366392</v>
      </c>
      <c r="X243" s="34">
        <f>20</f>
        <v>20</v>
      </c>
    </row>
    <row r="244" spans="1:24" x14ac:dyDescent="0.15">
      <c r="A244" s="25" t="s">
        <v>993</v>
      </c>
      <c r="B244" s="25" t="s">
        <v>766</v>
      </c>
      <c r="C244" s="25" t="s">
        <v>767</v>
      </c>
      <c r="D244" s="25" t="s">
        <v>768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1911</f>
        <v>1911</v>
      </c>
      <c r="L244" s="32" t="s">
        <v>904</v>
      </c>
      <c r="M244" s="31">
        <f>1993</f>
        <v>1993</v>
      </c>
      <c r="N244" s="32" t="s">
        <v>94</v>
      </c>
      <c r="O244" s="31">
        <f>1878</f>
        <v>1878</v>
      </c>
      <c r="P244" s="32" t="s">
        <v>80</v>
      </c>
      <c r="Q244" s="31">
        <f>1979</f>
        <v>1979</v>
      </c>
      <c r="R244" s="32" t="s">
        <v>936</v>
      </c>
      <c r="S244" s="33">
        <f>1942.85</f>
        <v>1942.85</v>
      </c>
      <c r="T244" s="30">
        <f>138513</f>
        <v>138513</v>
      </c>
      <c r="U244" s="30">
        <f>6</f>
        <v>6</v>
      </c>
      <c r="V244" s="30">
        <f>267671237</f>
        <v>267671237</v>
      </c>
      <c r="W244" s="30">
        <f>11753</f>
        <v>11753</v>
      </c>
      <c r="X244" s="34">
        <f>20</f>
        <v>20</v>
      </c>
    </row>
    <row r="245" spans="1:24" x14ac:dyDescent="0.15">
      <c r="A245" s="25" t="s">
        <v>993</v>
      </c>
      <c r="B245" s="25" t="s">
        <v>769</v>
      </c>
      <c r="C245" s="25" t="s">
        <v>770</v>
      </c>
      <c r="D245" s="25" t="s">
        <v>771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1078</f>
        <v>1078</v>
      </c>
      <c r="L245" s="32" t="s">
        <v>904</v>
      </c>
      <c r="M245" s="31">
        <f>1128</f>
        <v>1128</v>
      </c>
      <c r="N245" s="32" t="s">
        <v>815</v>
      </c>
      <c r="O245" s="31">
        <f>1063</f>
        <v>1063</v>
      </c>
      <c r="P245" s="32" t="s">
        <v>904</v>
      </c>
      <c r="Q245" s="31">
        <f>1119</f>
        <v>1119</v>
      </c>
      <c r="R245" s="32" t="s">
        <v>936</v>
      </c>
      <c r="S245" s="33">
        <f>1103.15</f>
        <v>1103.1500000000001</v>
      </c>
      <c r="T245" s="30">
        <f>304288</f>
        <v>304288</v>
      </c>
      <c r="U245" s="30">
        <f>27270</f>
        <v>27270</v>
      </c>
      <c r="V245" s="30">
        <f>336020210</f>
        <v>336020210</v>
      </c>
      <c r="W245" s="30">
        <f>30016728</f>
        <v>30016728</v>
      </c>
      <c r="X245" s="34">
        <f>20</f>
        <v>20</v>
      </c>
    </row>
    <row r="246" spans="1:24" x14ac:dyDescent="0.15">
      <c r="A246" s="25" t="s">
        <v>993</v>
      </c>
      <c r="B246" s="25" t="s">
        <v>772</v>
      </c>
      <c r="C246" s="25" t="s">
        <v>773</v>
      </c>
      <c r="D246" s="25" t="s">
        <v>774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1112</f>
        <v>1112</v>
      </c>
      <c r="L246" s="32" t="s">
        <v>904</v>
      </c>
      <c r="M246" s="31">
        <f>1138</f>
        <v>1138</v>
      </c>
      <c r="N246" s="32" t="s">
        <v>936</v>
      </c>
      <c r="O246" s="31">
        <f>1096.5</f>
        <v>1096.5</v>
      </c>
      <c r="P246" s="32" t="s">
        <v>904</v>
      </c>
      <c r="Q246" s="31">
        <f>1137.5</f>
        <v>1137.5</v>
      </c>
      <c r="R246" s="32" t="s">
        <v>936</v>
      </c>
      <c r="S246" s="33">
        <f>1111.18</f>
        <v>1111.18</v>
      </c>
      <c r="T246" s="30">
        <f>11910</f>
        <v>11910</v>
      </c>
      <c r="U246" s="30" t="str">
        <f>"－"</f>
        <v>－</v>
      </c>
      <c r="V246" s="30">
        <f>13246335</f>
        <v>13246335</v>
      </c>
      <c r="W246" s="30" t="str">
        <f>"－"</f>
        <v>－</v>
      </c>
      <c r="X246" s="34">
        <f>17</f>
        <v>17</v>
      </c>
    </row>
    <row r="247" spans="1:24" x14ac:dyDescent="0.15">
      <c r="A247" s="25" t="s">
        <v>993</v>
      </c>
      <c r="B247" s="25" t="s">
        <v>775</v>
      </c>
      <c r="C247" s="25" t="s">
        <v>776</v>
      </c>
      <c r="D247" s="25" t="s">
        <v>777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228.5</f>
        <v>228.5</v>
      </c>
      <c r="L247" s="32" t="s">
        <v>904</v>
      </c>
      <c r="M247" s="31">
        <f>254.2</f>
        <v>254.2</v>
      </c>
      <c r="N247" s="32" t="s">
        <v>94</v>
      </c>
      <c r="O247" s="31">
        <f>225</f>
        <v>225</v>
      </c>
      <c r="P247" s="32" t="s">
        <v>904</v>
      </c>
      <c r="Q247" s="31">
        <f>251.5</f>
        <v>251.5</v>
      </c>
      <c r="R247" s="32" t="s">
        <v>936</v>
      </c>
      <c r="S247" s="33">
        <f>235.47</f>
        <v>235.47</v>
      </c>
      <c r="T247" s="30">
        <f>32550</f>
        <v>32550</v>
      </c>
      <c r="U247" s="30" t="str">
        <f>"－"</f>
        <v>－</v>
      </c>
      <c r="V247" s="30">
        <f>7715055</f>
        <v>7715055</v>
      </c>
      <c r="W247" s="30" t="str">
        <f>"－"</f>
        <v>－</v>
      </c>
      <c r="X247" s="34">
        <f>20</f>
        <v>20</v>
      </c>
    </row>
    <row r="248" spans="1:24" x14ac:dyDescent="0.15">
      <c r="A248" s="25" t="s">
        <v>993</v>
      </c>
      <c r="B248" s="25" t="s">
        <v>778</v>
      </c>
      <c r="C248" s="25" t="s">
        <v>779</v>
      </c>
      <c r="D248" s="25" t="s">
        <v>780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2696.5</f>
        <v>2696.5</v>
      </c>
      <c r="L248" s="32" t="s">
        <v>904</v>
      </c>
      <c r="M248" s="31">
        <f>2982</f>
        <v>2982</v>
      </c>
      <c r="N248" s="32" t="s">
        <v>936</v>
      </c>
      <c r="O248" s="31">
        <f>2640</f>
        <v>2640</v>
      </c>
      <c r="P248" s="32" t="s">
        <v>904</v>
      </c>
      <c r="Q248" s="31">
        <f>2951.5</f>
        <v>2951.5</v>
      </c>
      <c r="R248" s="32" t="s">
        <v>936</v>
      </c>
      <c r="S248" s="33">
        <f>2831.8</f>
        <v>2831.8</v>
      </c>
      <c r="T248" s="30">
        <f>2108580</f>
        <v>2108580</v>
      </c>
      <c r="U248" s="30">
        <f>30</f>
        <v>30</v>
      </c>
      <c r="V248" s="30">
        <f>5969755945</f>
        <v>5969755945</v>
      </c>
      <c r="W248" s="30">
        <f>89025</f>
        <v>89025</v>
      </c>
      <c r="X248" s="34">
        <f>20</f>
        <v>20</v>
      </c>
    </row>
    <row r="249" spans="1:24" x14ac:dyDescent="0.15">
      <c r="A249" s="25" t="s">
        <v>993</v>
      </c>
      <c r="B249" s="25" t="s">
        <v>781</v>
      </c>
      <c r="C249" s="25" t="s">
        <v>782</v>
      </c>
      <c r="D249" s="25" t="s">
        <v>783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2044.5</f>
        <v>2044.5</v>
      </c>
      <c r="L249" s="32" t="s">
        <v>904</v>
      </c>
      <c r="M249" s="31">
        <f>2282</f>
        <v>2282</v>
      </c>
      <c r="N249" s="32" t="s">
        <v>936</v>
      </c>
      <c r="O249" s="31">
        <f>2016</f>
        <v>2016</v>
      </c>
      <c r="P249" s="32" t="s">
        <v>904</v>
      </c>
      <c r="Q249" s="31">
        <f>2278.5</f>
        <v>2278.5</v>
      </c>
      <c r="R249" s="32" t="s">
        <v>936</v>
      </c>
      <c r="S249" s="33">
        <f>2132.68</f>
        <v>2132.6799999999998</v>
      </c>
      <c r="T249" s="30">
        <f>4981410</f>
        <v>4981410</v>
      </c>
      <c r="U249" s="30">
        <f>2404010</f>
        <v>2404010</v>
      </c>
      <c r="V249" s="30">
        <f>10789721237</f>
        <v>10789721237</v>
      </c>
      <c r="W249" s="30">
        <f>5243105847</f>
        <v>5243105847</v>
      </c>
      <c r="X249" s="34">
        <f>20</f>
        <v>20</v>
      </c>
    </row>
    <row r="250" spans="1:24" x14ac:dyDescent="0.15">
      <c r="A250" s="25" t="s">
        <v>993</v>
      </c>
      <c r="B250" s="25" t="s">
        <v>784</v>
      </c>
      <c r="C250" s="25" t="s">
        <v>785</v>
      </c>
      <c r="D250" s="25" t="s">
        <v>786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3075</f>
        <v>3075</v>
      </c>
      <c r="L250" s="32" t="s">
        <v>904</v>
      </c>
      <c r="M250" s="31">
        <f>3130</f>
        <v>3130</v>
      </c>
      <c r="N250" s="32" t="s">
        <v>915</v>
      </c>
      <c r="O250" s="31">
        <f>3000</f>
        <v>3000</v>
      </c>
      <c r="P250" s="32" t="s">
        <v>936</v>
      </c>
      <c r="Q250" s="31">
        <f>3015</f>
        <v>3015</v>
      </c>
      <c r="R250" s="32" t="s">
        <v>936</v>
      </c>
      <c r="S250" s="33">
        <f>3076.75</f>
        <v>3076.75</v>
      </c>
      <c r="T250" s="30">
        <f>5862758</f>
        <v>5862758</v>
      </c>
      <c r="U250" s="30">
        <f>5277340</f>
        <v>5277340</v>
      </c>
      <c r="V250" s="30">
        <f>18053578233</f>
        <v>18053578233</v>
      </c>
      <c r="W250" s="30">
        <f>16258848958</f>
        <v>16258848958</v>
      </c>
      <c r="X250" s="34">
        <f>20</f>
        <v>20</v>
      </c>
    </row>
    <row r="251" spans="1:24" x14ac:dyDescent="0.15">
      <c r="A251" s="25" t="s">
        <v>993</v>
      </c>
      <c r="B251" s="25" t="s">
        <v>787</v>
      </c>
      <c r="C251" s="25" t="s">
        <v>788</v>
      </c>
      <c r="D251" s="25" t="s">
        <v>789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1706</f>
        <v>1706</v>
      </c>
      <c r="L251" s="32" t="s">
        <v>904</v>
      </c>
      <c r="M251" s="31">
        <f>1768</f>
        <v>1768</v>
      </c>
      <c r="N251" s="32" t="s">
        <v>815</v>
      </c>
      <c r="O251" s="31">
        <f>1671</f>
        <v>1671</v>
      </c>
      <c r="P251" s="32" t="s">
        <v>821</v>
      </c>
      <c r="Q251" s="31">
        <f>1753</f>
        <v>1753</v>
      </c>
      <c r="R251" s="32" t="s">
        <v>936</v>
      </c>
      <c r="S251" s="33">
        <f>1720.55</f>
        <v>1720.55</v>
      </c>
      <c r="T251" s="30">
        <f>2841662</f>
        <v>2841662</v>
      </c>
      <c r="U251" s="30">
        <f>1630000</f>
        <v>1630000</v>
      </c>
      <c r="V251" s="30">
        <f>4902023969</f>
        <v>4902023969</v>
      </c>
      <c r="W251" s="30">
        <f>2809413600</f>
        <v>2809413600</v>
      </c>
      <c r="X251" s="34">
        <f>20</f>
        <v>20</v>
      </c>
    </row>
    <row r="252" spans="1:24" x14ac:dyDescent="0.15">
      <c r="A252" s="25" t="s">
        <v>993</v>
      </c>
      <c r="B252" s="25" t="s">
        <v>790</v>
      </c>
      <c r="C252" s="25" t="s">
        <v>791</v>
      </c>
      <c r="D252" s="25" t="s">
        <v>792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1900</f>
        <v>1900</v>
      </c>
      <c r="L252" s="32" t="s">
        <v>904</v>
      </c>
      <c r="M252" s="31">
        <f>1937</f>
        <v>1937</v>
      </c>
      <c r="N252" s="32" t="s">
        <v>810</v>
      </c>
      <c r="O252" s="31">
        <f>1804</f>
        <v>1804</v>
      </c>
      <c r="P252" s="32" t="s">
        <v>915</v>
      </c>
      <c r="Q252" s="31">
        <f>1924</f>
        <v>1924</v>
      </c>
      <c r="R252" s="32" t="s">
        <v>936</v>
      </c>
      <c r="S252" s="33">
        <f>1877.35</f>
        <v>1877.35</v>
      </c>
      <c r="T252" s="30">
        <f>440734</f>
        <v>440734</v>
      </c>
      <c r="U252" s="30">
        <f>420000</f>
        <v>420000</v>
      </c>
      <c r="V252" s="30">
        <f>838049979</f>
        <v>838049979</v>
      </c>
      <c r="W252" s="30">
        <f>799201000</f>
        <v>799201000</v>
      </c>
      <c r="X252" s="34">
        <f>20</f>
        <v>20</v>
      </c>
    </row>
    <row r="253" spans="1:24" x14ac:dyDescent="0.15">
      <c r="A253" s="25" t="s">
        <v>993</v>
      </c>
      <c r="B253" s="25" t="s">
        <v>793</v>
      </c>
      <c r="C253" s="25" t="s">
        <v>794</v>
      </c>
      <c r="D253" s="25" t="s">
        <v>795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2185</f>
        <v>2185</v>
      </c>
      <c r="L253" s="32" t="s">
        <v>904</v>
      </c>
      <c r="M253" s="31">
        <f>2300</f>
        <v>2300</v>
      </c>
      <c r="N253" s="32" t="s">
        <v>812</v>
      </c>
      <c r="O253" s="31">
        <f>2185</f>
        <v>2185</v>
      </c>
      <c r="P253" s="32" t="s">
        <v>904</v>
      </c>
      <c r="Q253" s="31">
        <f>2282</f>
        <v>2282</v>
      </c>
      <c r="R253" s="32" t="s">
        <v>936</v>
      </c>
      <c r="S253" s="33">
        <f>2230.31</f>
        <v>2230.31</v>
      </c>
      <c r="T253" s="30">
        <f>9053</f>
        <v>9053</v>
      </c>
      <c r="U253" s="30" t="str">
        <f>"－"</f>
        <v>－</v>
      </c>
      <c r="V253" s="30">
        <f>20446188</f>
        <v>20446188</v>
      </c>
      <c r="W253" s="30" t="str">
        <f>"－"</f>
        <v>－</v>
      </c>
      <c r="X253" s="34">
        <f>16</f>
        <v>16</v>
      </c>
    </row>
    <row r="254" spans="1:24" x14ac:dyDescent="0.15">
      <c r="A254" s="25" t="s">
        <v>993</v>
      </c>
      <c r="B254" s="25" t="s">
        <v>796</v>
      </c>
      <c r="C254" s="25" t="s">
        <v>797</v>
      </c>
      <c r="D254" s="25" t="s">
        <v>798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2653</f>
        <v>2653</v>
      </c>
      <c r="L254" s="32" t="s">
        <v>904</v>
      </c>
      <c r="M254" s="31">
        <f>2809</f>
        <v>2809</v>
      </c>
      <c r="N254" s="32" t="s">
        <v>94</v>
      </c>
      <c r="O254" s="31">
        <f>2595</f>
        <v>2595</v>
      </c>
      <c r="P254" s="32" t="s">
        <v>904</v>
      </c>
      <c r="Q254" s="31">
        <f>2786</f>
        <v>2786</v>
      </c>
      <c r="R254" s="32" t="s">
        <v>936</v>
      </c>
      <c r="S254" s="33">
        <f>2706.65</f>
        <v>2706.65</v>
      </c>
      <c r="T254" s="30">
        <f>477134</f>
        <v>477134</v>
      </c>
      <c r="U254" s="30">
        <f>308500</f>
        <v>308500</v>
      </c>
      <c r="V254" s="30">
        <f>1312087003</f>
        <v>1312087003</v>
      </c>
      <c r="W254" s="30">
        <f>854999900</f>
        <v>854999900</v>
      </c>
      <c r="X254" s="34">
        <f>20</f>
        <v>20</v>
      </c>
    </row>
    <row r="255" spans="1:24" x14ac:dyDescent="0.15">
      <c r="A255" s="25" t="s">
        <v>993</v>
      </c>
      <c r="B255" s="25" t="s">
        <v>799</v>
      </c>
      <c r="C255" s="25" t="s">
        <v>800</v>
      </c>
      <c r="D255" s="25" t="s">
        <v>801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1880</f>
        <v>1880</v>
      </c>
      <c r="L255" s="32" t="s">
        <v>904</v>
      </c>
      <c r="M255" s="31">
        <f>1960</f>
        <v>1960</v>
      </c>
      <c r="N255" s="32" t="s">
        <v>908</v>
      </c>
      <c r="O255" s="31">
        <f>1843</f>
        <v>1843</v>
      </c>
      <c r="P255" s="32" t="s">
        <v>904</v>
      </c>
      <c r="Q255" s="31">
        <f>1939</f>
        <v>1939</v>
      </c>
      <c r="R255" s="32" t="s">
        <v>936</v>
      </c>
      <c r="S255" s="33">
        <f>1912.05</f>
        <v>1912.05</v>
      </c>
      <c r="T255" s="30">
        <f>438708</f>
        <v>438708</v>
      </c>
      <c r="U255" s="30">
        <f>84250</f>
        <v>84250</v>
      </c>
      <c r="V255" s="30">
        <f>834754970</f>
        <v>834754970</v>
      </c>
      <c r="W255" s="30">
        <f>158939475</f>
        <v>158939475</v>
      </c>
      <c r="X255" s="34">
        <f>20</f>
        <v>20</v>
      </c>
    </row>
    <row r="256" spans="1:24" x14ac:dyDescent="0.15">
      <c r="A256" s="25" t="s">
        <v>993</v>
      </c>
      <c r="B256" s="25" t="s">
        <v>802</v>
      </c>
      <c r="C256" s="25" t="s">
        <v>803</v>
      </c>
      <c r="D256" s="25" t="s">
        <v>804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1850</f>
        <v>1850</v>
      </c>
      <c r="L256" s="32" t="s">
        <v>904</v>
      </c>
      <c r="M256" s="31">
        <f>1956</f>
        <v>1956</v>
      </c>
      <c r="N256" s="32" t="s">
        <v>908</v>
      </c>
      <c r="O256" s="31">
        <f>1827</f>
        <v>1827</v>
      </c>
      <c r="P256" s="32" t="s">
        <v>904</v>
      </c>
      <c r="Q256" s="31">
        <f>1945</f>
        <v>1945</v>
      </c>
      <c r="R256" s="32" t="s">
        <v>936</v>
      </c>
      <c r="S256" s="33">
        <f>1918</f>
        <v>1918</v>
      </c>
      <c r="T256" s="30">
        <f>63503</f>
        <v>63503</v>
      </c>
      <c r="U256" s="30" t="str">
        <f>"－"</f>
        <v>－</v>
      </c>
      <c r="V256" s="30">
        <f>121512478</f>
        <v>121512478</v>
      </c>
      <c r="W256" s="30" t="str">
        <f>"－"</f>
        <v>－</v>
      </c>
      <c r="X256" s="34">
        <f>20</f>
        <v>20</v>
      </c>
    </row>
    <row r="257" spans="1:24" x14ac:dyDescent="0.15">
      <c r="A257" s="25" t="s">
        <v>993</v>
      </c>
      <c r="B257" s="25" t="s">
        <v>805</v>
      </c>
      <c r="C257" s="25" t="s">
        <v>806</v>
      </c>
      <c r="D257" s="25" t="s">
        <v>807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1378</f>
        <v>1378</v>
      </c>
      <c r="L257" s="32" t="s">
        <v>904</v>
      </c>
      <c r="M257" s="31">
        <f>1546</f>
        <v>1546</v>
      </c>
      <c r="N257" s="32" t="s">
        <v>936</v>
      </c>
      <c r="O257" s="31">
        <f>1351</f>
        <v>1351</v>
      </c>
      <c r="P257" s="32" t="s">
        <v>904</v>
      </c>
      <c r="Q257" s="31">
        <f>1539</f>
        <v>1539</v>
      </c>
      <c r="R257" s="32" t="s">
        <v>936</v>
      </c>
      <c r="S257" s="33">
        <f>1462.7</f>
        <v>1462.7</v>
      </c>
      <c r="T257" s="30">
        <f>79457</f>
        <v>79457</v>
      </c>
      <c r="U257" s="30" t="str">
        <f>"－"</f>
        <v>－</v>
      </c>
      <c r="V257" s="30">
        <f>113960661</f>
        <v>113960661</v>
      </c>
      <c r="W257" s="30" t="str">
        <f>"－"</f>
        <v>－</v>
      </c>
      <c r="X257" s="34">
        <f>20</f>
        <v>20</v>
      </c>
    </row>
    <row r="258" spans="1:24" x14ac:dyDescent="0.15">
      <c r="A258" s="25" t="s">
        <v>993</v>
      </c>
      <c r="B258" s="25" t="s">
        <v>824</v>
      </c>
      <c r="C258" s="25" t="s">
        <v>825</v>
      </c>
      <c r="D258" s="25" t="s">
        <v>826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2313</f>
        <v>2313</v>
      </c>
      <c r="L258" s="32" t="s">
        <v>904</v>
      </c>
      <c r="M258" s="31">
        <f>2319</f>
        <v>2319</v>
      </c>
      <c r="N258" s="32" t="s">
        <v>912</v>
      </c>
      <c r="O258" s="31">
        <f>2147</f>
        <v>2147</v>
      </c>
      <c r="P258" s="32" t="s">
        <v>56</v>
      </c>
      <c r="Q258" s="31">
        <f>2187</f>
        <v>2187</v>
      </c>
      <c r="R258" s="32" t="s">
        <v>936</v>
      </c>
      <c r="S258" s="33">
        <f>2237.55</f>
        <v>2237.5500000000002</v>
      </c>
      <c r="T258" s="30">
        <f>15581</f>
        <v>15581</v>
      </c>
      <c r="U258" s="30" t="str">
        <f>"－"</f>
        <v>－</v>
      </c>
      <c r="V258" s="30">
        <f>35055367</f>
        <v>35055367</v>
      </c>
      <c r="W258" s="30" t="str">
        <f>"－"</f>
        <v>－</v>
      </c>
      <c r="X258" s="34">
        <f>20</f>
        <v>20</v>
      </c>
    </row>
    <row r="259" spans="1:24" x14ac:dyDescent="0.15">
      <c r="A259" s="25" t="s">
        <v>993</v>
      </c>
      <c r="B259" s="25" t="s">
        <v>827</v>
      </c>
      <c r="C259" s="25" t="s">
        <v>828</v>
      </c>
      <c r="D259" s="25" t="s">
        <v>829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2813</f>
        <v>2813</v>
      </c>
      <c r="L259" s="32" t="s">
        <v>904</v>
      </c>
      <c r="M259" s="31">
        <f>2814</f>
        <v>2814</v>
      </c>
      <c r="N259" s="32" t="s">
        <v>810</v>
      </c>
      <c r="O259" s="31">
        <f>2501</f>
        <v>2501</v>
      </c>
      <c r="P259" s="32" t="s">
        <v>936</v>
      </c>
      <c r="Q259" s="31">
        <f>2501</f>
        <v>2501</v>
      </c>
      <c r="R259" s="32" t="s">
        <v>936</v>
      </c>
      <c r="S259" s="33">
        <f>2662.55</f>
        <v>2662.55</v>
      </c>
      <c r="T259" s="30">
        <f>12332</f>
        <v>12332</v>
      </c>
      <c r="U259" s="30" t="str">
        <f>"－"</f>
        <v>－</v>
      </c>
      <c r="V259" s="30">
        <f>33088835</f>
        <v>33088835</v>
      </c>
      <c r="W259" s="30" t="str">
        <f>"－"</f>
        <v>－</v>
      </c>
      <c r="X259" s="34">
        <f>20</f>
        <v>20</v>
      </c>
    </row>
    <row r="260" spans="1:24" x14ac:dyDescent="0.15">
      <c r="A260" s="25" t="s">
        <v>993</v>
      </c>
      <c r="B260" s="25" t="s">
        <v>830</v>
      </c>
      <c r="C260" s="25" t="s">
        <v>831</v>
      </c>
      <c r="D260" s="25" t="s">
        <v>832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9736</f>
        <v>9736</v>
      </c>
      <c r="L260" s="32" t="s">
        <v>904</v>
      </c>
      <c r="M260" s="31">
        <f>10415</f>
        <v>10415</v>
      </c>
      <c r="N260" s="32" t="s">
        <v>936</v>
      </c>
      <c r="O260" s="31">
        <f>9540</f>
        <v>9540</v>
      </c>
      <c r="P260" s="32" t="s">
        <v>904</v>
      </c>
      <c r="Q260" s="31">
        <f>10415</f>
        <v>10415</v>
      </c>
      <c r="R260" s="32" t="s">
        <v>936</v>
      </c>
      <c r="S260" s="33">
        <f>9897.95</f>
        <v>9897.9500000000007</v>
      </c>
      <c r="T260" s="30">
        <f>484743</f>
        <v>484743</v>
      </c>
      <c r="U260" s="30">
        <f>415000</f>
        <v>415000</v>
      </c>
      <c r="V260" s="30">
        <f>4737956738</f>
        <v>4737956738</v>
      </c>
      <c r="W260" s="30">
        <f>4038684300</f>
        <v>4038684300</v>
      </c>
      <c r="X260" s="34">
        <f>20</f>
        <v>20</v>
      </c>
    </row>
    <row r="261" spans="1:24" x14ac:dyDescent="0.15">
      <c r="A261" s="25" t="s">
        <v>993</v>
      </c>
      <c r="B261" s="25" t="s">
        <v>833</v>
      </c>
      <c r="C261" s="25" t="s">
        <v>834</v>
      </c>
      <c r="D261" s="25" t="s">
        <v>835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11240</f>
        <v>11240</v>
      </c>
      <c r="L261" s="32" t="s">
        <v>904</v>
      </c>
      <c r="M261" s="31">
        <f>12455</f>
        <v>12455</v>
      </c>
      <c r="N261" s="32" t="s">
        <v>936</v>
      </c>
      <c r="O261" s="31">
        <f>11005</f>
        <v>11005</v>
      </c>
      <c r="P261" s="32" t="s">
        <v>904</v>
      </c>
      <c r="Q261" s="31">
        <f>12335</f>
        <v>12335</v>
      </c>
      <c r="R261" s="32" t="s">
        <v>936</v>
      </c>
      <c r="S261" s="33">
        <f>11822</f>
        <v>11822</v>
      </c>
      <c r="T261" s="30">
        <f>873768</f>
        <v>873768</v>
      </c>
      <c r="U261" s="30">
        <f>123015</f>
        <v>123015</v>
      </c>
      <c r="V261" s="30">
        <f>10420006036</f>
        <v>10420006036</v>
      </c>
      <c r="W261" s="30">
        <f>1501495886</f>
        <v>1501495886</v>
      </c>
      <c r="X261" s="34">
        <f>20</f>
        <v>20</v>
      </c>
    </row>
    <row r="262" spans="1:24" x14ac:dyDescent="0.15">
      <c r="A262" s="25" t="s">
        <v>993</v>
      </c>
      <c r="B262" s="25" t="s">
        <v>836</v>
      </c>
      <c r="C262" s="25" t="s">
        <v>837</v>
      </c>
      <c r="D262" s="25" t="s">
        <v>838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8551</f>
        <v>8551</v>
      </c>
      <c r="L262" s="32" t="s">
        <v>904</v>
      </c>
      <c r="M262" s="31">
        <f>9535</f>
        <v>9535</v>
      </c>
      <c r="N262" s="32" t="s">
        <v>936</v>
      </c>
      <c r="O262" s="31">
        <f>8432</f>
        <v>8432</v>
      </c>
      <c r="P262" s="32" t="s">
        <v>904</v>
      </c>
      <c r="Q262" s="31">
        <f>9533</f>
        <v>9533</v>
      </c>
      <c r="R262" s="32" t="s">
        <v>936</v>
      </c>
      <c r="S262" s="33">
        <f>8925.6</f>
        <v>8925.6</v>
      </c>
      <c r="T262" s="30">
        <f>789539</f>
        <v>789539</v>
      </c>
      <c r="U262" s="30">
        <f>354008</f>
        <v>354008</v>
      </c>
      <c r="V262" s="30">
        <f>7106010528</f>
        <v>7106010528</v>
      </c>
      <c r="W262" s="30">
        <f>3192016280</f>
        <v>3192016280</v>
      </c>
      <c r="X262" s="34">
        <f>20</f>
        <v>20</v>
      </c>
    </row>
    <row r="263" spans="1:24" x14ac:dyDescent="0.15">
      <c r="A263" s="25" t="s">
        <v>993</v>
      </c>
      <c r="B263" s="25" t="s">
        <v>839</v>
      </c>
      <c r="C263" s="25" t="s">
        <v>840</v>
      </c>
      <c r="D263" s="25" t="s">
        <v>841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2388.5</f>
        <v>2388.5</v>
      </c>
      <c r="L263" s="32" t="s">
        <v>904</v>
      </c>
      <c r="M263" s="31">
        <f>2563</f>
        <v>2563</v>
      </c>
      <c r="N263" s="32" t="s">
        <v>936</v>
      </c>
      <c r="O263" s="31">
        <f>2346</f>
        <v>2346</v>
      </c>
      <c r="P263" s="32" t="s">
        <v>904</v>
      </c>
      <c r="Q263" s="31">
        <f>2537</f>
        <v>2537</v>
      </c>
      <c r="R263" s="32" t="s">
        <v>936</v>
      </c>
      <c r="S263" s="33">
        <f>2469.93</f>
        <v>2469.9299999999998</v>
      </c>
      <c r="T263" s="30">
        <f>3794950</f>
        <v>3794950</v>
      </c>
      <c r="U263" s="30">
        <f>2392080</f>
        <v>2392080</v>
      </c>
      <c r="V263" s="30">
        <f>9460451890</f>
        <v>9460451890</v>
      </c>
      <c r="W263" s="30">
        <f>5974258560</f>
        <v>5974258560</v>
      </c>
      <c r="X263" s="34">
        <f>20</f>
        <v>20</v>
      </c>
    </row>
    <row r="264" spans="1:24" x14ac:dyDescent="0.15">
      <c r="A264" s="25" t="s">
        <v>993</v>
      </c>
      <c r="B264" s="25" t="s">
        <v>842</v>
      </c>
      <c r="C264" s="25" t="s">
        <v>843</v>
      </c>
      <c r="D264" s="25" t="s">
        <v>844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1896</f>
        <v>1896</v>
      </c>
      <c r="L264" s="32" t="s">
        <v>904</v>
      </c>
      <c r="M264" s="31">
        <f>2051</f>
        <v>2051</v>
      </c>
      <c r="N264" s="32" t="s">
        <v>936</v>
      </c>
      <c r="O264" s="31">
        <f>1877</f>
        <v>1877</v>
      </c>
      <c r="P264" s="32" t="s">
        <v>904</v>
      </c>
      <c r="Q264" s="31">
        <f>2051</f>
        <v>2051</v>
      </c>
      <c r="R264" s="32" t="s">
        <v>936</v>
      </c>
      <c r="S264" s="33">
        <f>1948.58</f>
        <v>1948.58</v>
      </c>
      <c r="T264" s="30">
        <f>4121370</f>
        <v>4121370</v>
      </c>
      <c r="U264" s="30">
        <f>2575600</f>
        <v>2575600</v>
      </c>
      <c r="V264" s="30">
        <f>7959051216</f>
        <v>7959051216</v>
      </c>
      <c r="W264" s="30">
        <f>4962016716</f>
        <v>4962016716</v>
      </c>
      <c r="X264" s="34">
        <f>20</f>
        <v>20</v>
      </c>
    </row>
    <row r="265" spans="1:24" x14ac:dyDescent="0.15">
      <c r="A265" s="25" t="s">
        <v>993</v>
      </c>
      <c r="B265" s="25" t="s">
        <v>845</v>
      </c>
      <c r="C265" s="25" t="s">
        <v>846</v>
      </c>
      <c r="D265" s="25" t="s">
        <v>847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2457</f>
        <v>2457</v>
      </c>
      <c r="L265" s="32" t="s">
        <v>904</v>
      </c>
      <c r="M265" s="31">
        <f>2631</f>
        <v>2631</v>
      </c>
      <c r="N265" s="32" t="s">
        <v>936</v>
      </c>
      <c r="O265" s="31">
        <f>2410</f>
        <v>2410</v>
      </c>
      <c r="P265" s="32" t="s">
        <v>904</v>
      </c>
      <c r="Q265" s="31">
        <f>2625</f>
        <v>2625</v>
      </c>
      <c r="R265" s="32" t="s">
        <v>936</v>
      </c>
      <c r="S265" s="33">
        <f>2539.2</f>
        <v>2539.1999999999998</v>
      </c>
      <c r="T265" s="30">
        <f>177660</f>
        <v>177660</v>
      </c>
      <c r="U265" s="30" t="str">
        <f>"－"</f>
        <v>－</v>
      </c>
      <c r="V265" s="30">
        <f>462298225</f>
        <v>462298225</v>
      </c>
      <c r="W265" s="30" t="str">
        <f>"－"</f>
        <v>－</v>
      </c>
      <c r="X265" s="34">
        <f>20</f>
        <v>20</v>
      </c>
    </row>
    <row r="266" spans="1:24" x14ac:dyDescent="0.15">
      <c r="A266" s="25" t="s">
        <v>993</v>
      </c>
      <c r="B266" s="25" t="s">
        <v>848</v>
      </c>
      <c r="C266" s="25" t="s">
        <v>849</v>
      </c>
      <c r="D266" s="25" t="s">
        <v>850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2437</f>
        <v>2437</v>
      </c>
      <c r="L266" s="32" t="s">
        <v>904</v>
      </c>
      <c r="M266" s="31">
        <f>2609</f>
        <v>2609</v>
      </c>
      <c r="N266" s="32" t="s">
        <v>908</v>
      </c>
      <c r="O266" s="31">
        <f>2389</f>
        <v>2389</v>
      </c>
      <c r="P266" s="32" t="s">
        <v>904</v>
      </c>
      <c r="Q266" s="31">
        <f>2590</f>
        <v>2590</v>
      </c>
      <c r="R266" s="32" t="s">
        <v>936</v>
      </c>
      <c r="S266" s="33">
        <f>2522.2</f>
        <v>2522.1999999999998</v>
      </c>
      <c r="T266" s="30">
        <f>12754</f>
        <v>12754</v>
      </c>
      <c r="U266" s="30" t="str">
        <f>"－"</f>
        <v>－</v>
      </c>
      <c r="V266" s="30">
        <f>31188351</f>
        <v>31188351</v>
      </c>
      <c r="W266" s="30" t="str">
        <f>"－"</f>
        <v>－</v>
      </c>
      <c r="X266" s="34">
        <f>20</f>
        <v>20</v>
      </c>
    </row>
    <row r="267" spans="1:24" x14ac:dyDescent="0.15">
      <c r="A267" s="25" t="s">
        <v>993</v>
      </c>
      <c r="B267" s="25" t="s">
        <v>851</v>
      </c>
      <c r="C267" s="25" t="s">
        <v>852</v>
      </c>
      <c r="D267" s="25" t="s">
        <v>853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1495</f>
        <v>1495</v>
      </c>
      <c r="L267" s="32" t="s">
        <v>904</v>
      </c>
      <c r="M267" s="31">
        <f>1573</f>
        <v>1573</v>
      </c>
      <c r="N267" s="32" t="s">
        <v>908</v>
      </c>
      <c r="O267" s="31">
        <f>1461</f>
        <v>1461</v>
      </c>
      <c r="P267" s="32" t="s">
        <v>904</v>
      </c>
      <c r="Q267" s="31">
        <f>1566</f>
        <v>1566</v>
      </c>
      <c r="R267" s="32" t="s">
        <v>936</v>
      </c>
      <c r="S267" s="33">
        <f>1524.4</f>
        <v>1524.4</v>
      </c>
      <c r="T267" s="30">
        <f>31115</f>
        <v>31115</v>
      </c>
      <c r="U267" s="30">
        <f>2</f>
        <v>2</v>
      </c>
      <c r="V267" s="30">
        <f>47223387</f>
        <v>47223387</v>
      </c>
      <c r="W267" s="30">
        <f>2987</f>
        <v>2987</v>
      </c>
      <c r="X267" s="34">
        <f>20</f>
        <v>20</v>
      </c>
    </row>
    <row r="268" spans="1:24" x14ac:dyDescent="0.15">
      <c r="A268" s="25" t="s">
        <v>993</v>
      </c>
      <c r="B268" s="25" t="s">
        <v>854</v>
      </c>
      <c r="C268" s="25" t="s">
        <v>855</v>
      </c>
      <c r="D268" s="25" t="s">
        <v>856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1856</f>
        <v>1856</v>
      </c>
      <c r="L268" s="32" t="s">
        <v>904</v>
      </c>
      <c r="M268" s="31">
        <f>2000</f>
        <v>2000</v>
      </c>
      <c r="N268" s="32" t="s">
        <v>908</v>
      </c>
      <c r="O268" s="31">
        <f>1813</f>
        <v>1813</v>
      </c>
      <c r="P268" s="32" t="s">
        <v>904</v>
      </c>
      <c r="Q268" s="31">
        <f>1953</f>
        <v>1953</v>
      </c>
      <c r="R268" s="32" t="s">
        <v>936</v>
      </c>
      <c r="S268" s="33">
        <f>1907</f>
        <v>1907</v>
      </c>
      <c r="T268" s="30">
        <f>66284</f>
        <v>66284</v>
      </c>
      <c r="U268" s="30" t="str">
        <f t="shared" ref="U268:U276" si="12">"－"</f>
        <v>－</v>
      </c>
      <c r="V268" s="30">
        <f>128435708</f>
        <v>128435708</v>
      </c>
      <c r="W268" s="30" t="str">
        <f t="shared" ref="W268:W276" si="13">"－"</f>
        <v>－</v>
      </c>
      <c r="X268" s="34">
        <f>20</f>
        <v>20</v>
      </c>
    </row>
    <row r="269" spans="1:24" x14ac:dyDescent="0.15">
      <c r="A269" s="25" t="s">
        <v>993</v>
      </c>
      <c r="B269" s="25" t="s">
        <v>857</v>
      </c>
      <c r="C269" s="25" t="s">
        <v>858</v>
      </c>
      <c r="D269" s="25" t="s">
        <v>859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1563</f>
        <v>1563</v>
      </c>
      <c r="L269" s="32" t="s">
        <v>904</v>
      </c>
      <c r="M269" s="31">
        <f>1724</f>
        <v>1724</v>
      </c>
      <c r="N269" s="32" t="s">
        <v>812</v>
      </c>
      <c r="O269" s="31">
        <f>1542</f>
        <v>1542</v>
      </c>
      <c r="P269" s="32" t="s">
        <v>904</v>
      </c>
      <c r="Q269" s="31">
        <f>1693</f>
        <v>1693</v>
      </c>
      <c r="R269" s="32" t="s">
        <v>936</v>
      </c>
      <c r="S269" s="33">
        <f>1646.2</f>
        <v>1646.2</v>
      </c>
      <c r="T269" s="30">
        <f>42584</f>
        <v>42584</v>
      </c>
      <c r="U269" s="30" t="str">
        <f t="shared" si="12"/>
        <v>－</v>
      </c>
      <c r="V269" s="30">
        <f>70366988</f>
        <v>70366988</v>
      </c>
      <c r="W269" s="30" t="str">
        <f t="shared" si="13"/>
        <v>－</v>
      </c>
      <c r="X269" s="34">
        <f>20</f>
        <v>20</v>
      </c>
    </row>
    <row r="270" spans="1:24" x14ac:dyDescent="0.15">
      <c r="A270" s="25" t="s">
        <v>993</v>
      </c>
      <c r="B270" s="25" t="s">
        <v>860</v>
      </c>
      <c r="C270" s="25" t="s">
        <v>861</v>
      </c>
      <c r="D270" s="25" t="s">
        <v>862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2566</f>
        <v>2566</v>
      </c>
      <c r="L270" s="32" t="s">
        <v>904</v>
      </c>
      <c r="M270" s="31">
        <f>2774</f>
        <v>2774</v>
      </c>
      <c r="N270" s="32" t="s">
        <v>812</v>
      </c>
      <c r="O270" s="31">
        <f>2533</f>
        <v>2533</v>
      </c>
      <c r="P270" s="32" t="s">
        <v>904</v>
      </c>
      <c r="Q270" s="31">
        <f>2690</f>
        <v>2690</v>
      </c>
      <c r="R270" s="32" t="s">
        <v>936</v>
      </c>
      <c r="S270" s="33">
        <f>2658.4</f>
        <v>2658.4</v>
      </c>
      <c r="T270" s="30">
        <f>39749</f>
        <v>39749</v>
      </c>
      <c r="U270" s="30" t="str">
        <f t="shared" si="12"/>
        <v>－</v>
      </c>
      <c r="V270" s="30">
        <f>103525553</f>
        <v>103525553</v>
      </c>
      <c r="W270" s="30" t="str">
        <f t="shared" si="13"/>
        <v>－</v>
      </c>
      <c r="X270" s="34">
        <f>20</f>
        <v>20</v>
      </c>
    </row>
    <row r="271" spans="1:24" x14ac:dyDescent="0.15">
      <c r="A271" s="25" t="s">
        <v>993</v>
      </c>
      <c r="B271" s="25" t="s">
        <v>863</v>
      </c>
      <c r="C271" s="25" t="s">
        <v>864</v>
      </c>
      <c r="D271" s="25" t="s">
        <v>865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1958</f>
        <v>1958</v>
      </c>
      <c r="L271" s="32" t="s">
        <v>904</v>
      </c>
      <c r="M271" s="31">
        <f>2084</f>
        <v>2084</v>
      </c>
      <c r="N271" s="32" t="s">
        <v>908</v>
      </c>
      <c r="O271" s="31">
        <f>1905</f>
        <v>1905</v>
      </c>
      <c r="P271" s="32" t="s">
        <v>904</v>
      </c>
      <c r="Q271" s="31">
        <f>2039</f>
        <v>2039</v>
      </c>
      <c r="R271" s="32" t="s">
        <v>936</v>
      </c>
      <c r="S271" s="33">
        <f>2006</f>
        <v>2006</v>
      </c>
      <c r="T271" s="30">
        <f>107264</f>
        <v>107264</v>
      </c>
      <c r="U271" s="30" t="str">
        <f t="shared" si="12"/>
        <v>－</v>
      </c>
      <c r="V271" s="30">
        <f>214898901</f>
        <v>214898901</v>
      </c>
      <c r="W271" s="30" t="str">
        <f t="shared" si="13"/>
        <v>－</v>
      </c>
      <c r="X271" s="34">
        <f>20</f>
        <v>20</v>
      </c>
    </row>
    <row r="272" spans="1:24" x14ac:dyDescent="0.15">
      <c r="A272" s="25" t="s">
        <v>993</v>
      </c>
      <c r="B272" s="25" t="s">
        <v>866</v>
      </c>
      <c r="C272" s="25" t="s">
        <v>867</v>
      </c>
      <c r="D272" s="25" t="s">
        <v>868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25080</f>
        <v>25080</v>
      </c>
      <c r="L272" s="32" t="s">
        <v>904</v>
      </c>
      <c r="M272" s="31">
        <f>26285</f>
        <v>26285</v>
      </c>
      <c r="N272" s="32" t="s">
        <v>815</v>
      </c>
      <c r="O272" s="31">
        <f>24650</f>
        <v>24650</v>
      </c>
      <c r="P272" s="32" t="s">
        <v>904</v>
      </c>
      <c r="Q272" s="31">
        <f>25630</f>
        <v>25630</v>
      </c>
      <c r="R272" s="32" t="s">
        <v>936</v>
      </c>
      <c r="S272" s="33">
        <f>25256.11</f>
        <v>25256.11</v>
      </c>
      <c r="T272" s="30">
        <f>63</f>
        <v>63</v>
      </c>
      <c r="U272" s="30" t="str">
        <f t="shared" si="12"/>
        <v>－</v>
      </c>
      <c r="V272" s="30">
        <f>1598275</f>
        <v>1598275</v>
      </c>
      <c r="W272" s="30" t="str">
        <f t="shared" si="13"/>
        <v>－</v>
      </c>
      <c r="X272" s="34">
        <f>18</f>
        <v>18</v>
      </c>
    </row>
    <row r="273" spans="1:24" x14ac:dyDescent="0.15">
      <c r="A273" s="25" t="s">
        <v>993</v>
      </c>
      <c r="B273" s="25" t="s">
        <v>869</v>
      </c>
      <c r="C273" s="25" t="s">
        <v>870</v>
      </c>
      <c r="D273" s="25" t="s">
        <v>871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1950</f>
        <v>1950</v>
      </c>
      <c r="L273" s="32" t="s">
        <v>904</v>
      </c>
      <c r="M273" s="31">
        <f>2043</f>
        <v>2043</v>
      </c>
      <c r="N273" s="32" t="s">
        <v>908</v>
      </c>
      <c r="O273" s="31">
        <f>1912</f>
        <v>1912</v>
      </c>
      <c r="P273" s="32" t="s">
        <v>904</v>
      </c>
      <c r="Q273" s="31">
        <f>2032</f>
        <v>2032</v>
      </c>
      <c r="R273" s="32" t="s">
        <v>936</v>
      </c>
      <c r="S273" s="33">
        <f>1988.75</f>
        <v>1988.75</v>
      </c>
      <c r="T273" s="30">
        <f>1053</f>
        <v>1053</v>
      </c>
      <c r="U273" s="30" t="str">
        <f t="shared" si="12"/>
        <v>－</v>
      </c>
      <c r="V273" s="30">
        <f>2068182</f>
        <v>2068182</v>
      </c>
      <c r="W273" s="30" t="str">
        <f t="shared" si="13"/>
        <v>－</v>
      </c>
      <c r="X273" s="34">
        <f>20</f>
        <v>20</v>
      </c>
    </row>
    <row r="274" spans="1:24" x14ac:dyDescent="0.15">
      <c r="A274" s="25" t="s">
        <v>993</v>
      </c>
      <c r="B274" s="25" t="s">
        <v>872</v>
      </c>
      <c r="C274" s="25" t="s">
        <v>873</v>
      </c>
      <c r="D274" s="25" t="s">
        <v>874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1932</f>
        <v>1932</v>
      </c>
      <c r="L274" s="32" t="s">
        <v>904</v>
      </c>
      <c r="M274" s="31">
        <f>2137</f>
        <v>2137</v>
      </c>
      <c r="N274" s="32" t="s">
        <v>94</v>
      </c>
      <c r="O274" s="31">
        <f>1863</f>
        <v>1863</v>
      </c>
      <c r="P274" s="32" t="s">
        <v>904</v>
      </c>
      <c r="Q274" s="31">
        <f>2046</f>
        <v>2046</v>
      </c>
      <c r="R274" s="32" t="s">
        <v>936</v>
      </c>
      <c r="S274" s="33">
        <f>1963.95</f>
        <v>1963.95</v>
      </c>
      <c r="T274" s="30">
        <f>330005</f>
        <v>330005</v>
      </c>
      <c r="U274" s="30" t="str">
        <f t="shared" si="12"/>
        <v>－</v>
      </c>
      <c r="V274" s="30">
        <f>644173666</f>
        <v>644173666</v>
      </c>
      <c r="W274" s="30" t="str">
        <f t="shared" si="13"/>
        <v>－</v>
      </c>
      <c r="X274" s="34">
        <f>20</f>
        <v>20</v>
      </c>
    </row>
    <row r="275" spans="1:24" x14ac:dyDescent="0.15">
      <c r="A275" s="25" t="s">
        <v>993</v>
      </c>
      <c r="B275" s="25" t="s">
        <v>875</v>
      </c>
      <c r="C275" s="25" t="s">
        <v>876</v>
      </c>
      <c r="D275" s="25" t="s">
        <v>877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1734</f>
        <v>1734</v>
      </c>
      <c r="L275" s="32" t="s">
        <v>904</v>
      </c>
      <c r="M275" s="31">
        <f>1838</f>
        <v>1838</v>
      </c>
      <c r="N275" s="32" t="s">
        <v>936</v>
      </c>
      <c r="O275" s="31">
        <f>1693</f>
        <v>1693</v>
      </c>
      <c r="P275" s="32" t="s">
        <v>904</v>
      </c>
      <c r="Q275" s="31">
        <f>1832</f>
        <v>1832</v>
      </c>
      <c r="R275" s="32" t="s">
        <v>936</v>
      </c>
      <c r="S275" s="33">
        <f>1766.4</f>
        <v>1766.4</v>
      </c>
      <c r="T275" s="30">
        <f>10147</f>
        <v>10147</v>
      </c>
      <c r="U275" s="30" t="str">
        <f t="shared" si="12"/>
        <v>－</v>
      </c>
      <c r="V275" s="30">
        <f>17555208</f>
        <v>17555208</v>
      </c>
      <c r="W275" s="30" t="str">
        <f t="shared" si="13"/>
        <v>－</v>
      </c>
      <c r="X275" s="34">
        <f>20</f>
        <v>20</v>
      </c>
    </row>
    <row r="276" spans="1:24" x14ac:dyDescent="0.15">
      <c r="A276" s="25" t="s">
        <v>993</v>
      </c>
      <c r="B276" s="25" t="s">
        <v>878</v>
      </c>
      <c r="C276" s="25" t="s">
        <v>879</v>
      </c>
      <c r="D276" s="25" t="s">
        <v>880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1301</f>
        <v>1301</v>
      </c>
      <c r="L276" s="32" t="s">
        <v>904</v>
      </c>
      <c r="M276" s="31">
        <f>1345</f>
        <v>1345</v>
      </c>
      <c r="N276" s="32" t="s">
        <v>94</v>
      </c>
      <c r="O276" s="31">
        <f>1252</f>
        <v>1252</v>
      </c>
      <c r="P276" s="32" t="s">
        <v>80</v>
      </c>
      <c r="Q276" s="31">
        <f>1325</f>
        <v>1325</v>
      </c>
      <c r="R276" s="32" t="s">
        <v>936</v>
      </c>
      <c r="S276" s="33">
        <f>1304.55</f>
        <v>1304.55</v>
      </c>
      <c r="T276" s="30">
        <f>10373</f>
        <v>10373</v>
      </c>
      <c r="U276" s="30" t="str">
        <f t="shared" si="12"/>
        <v>－</v>
      </c>
      <c r="V276" s="30">
        <f>13461709</f>
        <v>13461709</v>
      </c>
      <c r="W276" s="30" t="str">
        <f t="shared" si="13"/>
        <v>－</v>
      </c>
      <c r="X276" s="34">
        <f>20</f>
        <v>20</v>
      </c>
    </row>
    <row r="277" spans="1:24" x14ac:dyDescent="0.15">
      <c r="A277" s="25" t="s">
        <v>993</v>
      </c>
      <c r="B277" s="25" t="s">
        <v>881</v>
      </c>
      <c r="C277" s="25" t="s">
        <v>882</v>
      </c>
      <c r="D277" s="25" t="s">
        <v>883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5358</f>
        <v>5358</v>
      </c>
      <c r="L277" s="32" t="s">
        <v>811</v>
      </c>
      <c r="M277" s="31">
        <f>5497</f>
        <v>5497</v>
      </c>
      <c r="N277" s="32" t="s">
        <v>266</v>
      </c>
      <c r="O277" s="31">
        <f>5334</f>
        <v>5334</v>
      </c>
      <c r="P277" s="32" t="s">
        <v>821</v>
      </c>
      <c r="Q277" s="31">
        <f>5402</f>
        <v>5402</v>
      </c>
      <c r="R277" s="32" t="s">
        <v>936</v>
      </c>
      <c r="S277" s="33">
        <f>5429.06</f>
        <v>5429.06</v>
      </c>
      <c r="T277" s="30">
        <f>309720</f>
        <v>309720</v>
      </c>
      <c r="U277" s="30">
        <f>226860</f>
        <v>226860</v>
      </c>
      <c r="V277" s="30">
        <f>1687788304</f>
        <v>1687788304</v>
      </c>
      <c r="W277" s="30">
        <f>1236782714</f>
        <v>1236782714</v>
      </c>
      <c r="X277" s="34">
        <f>17</f>
        <v>17</v>
      </c>
    </row>
    <row r="278" spans="1:24" x14ac:dyDescent="0.15">
      <c r="A278" s="25" t="s">
        <v>993</v>
      </c>
      <c r="B278" s="25" t="s">
        <v>884</v>
      </c>
      <c r="C278" s="25" t="s">
        <v>885</v>
      </c>
      <c r="D278" s="25" t="s">
        <v>886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4473</f>
        <v>4473</v>
      </c>
      <c r="L278" s="32" t="s">
        <v>811</v>
      </c>
      <c r="M278" s="31">
        <f>4560</f>
        <v>4560</v>
      </c>
      <c r="N278" s="32" t="s">
        <v>936</v>
      </c>
      <c r="O278" s="31">
        <f>4409</f>
        <v>4409</v>
      </c>
      <c r="P278" s="32" t="s">
        <v>821</v>
      </c>
      <c r="Q278" s="31">
        <f>4560</f>
        <v>4560</v>
      </c>
      <c r="R278" s="32" t="s">
        <v>936</v>
      </c>
      <c r="S278" s="33">
        <f>4455.5</f>
        <v>4455.5</v>
      </c>
      <c r="T278" s="30">
        <f>1220440</f>
        <v>1220440</v>
      </c>
      <c r="U278" s="30">
        <f>1195000</f>
        <v>1195000</v>
      </c>
      <c r="V278" s="30">
        <f>5437921249</f>
        <v>5437921249</v>
      </c>
      <c r="W278" s="30">
        <f>5321966669</f>
        <v>5321966669</v>
      </c>
      <c r="X278" s="34">
        <f>8</f>
        <v>8</v>
      </c>
    </row>
    <row r="279" spans="1:24" x14ac:dyDescent="0.15">
      <c r="A279" s="25" t="s">
        <v>993</v>
      </c>
      <c r="B279" s="25" t="s">
        <v>887</v>
      </c>
      <c r="C279" s="25" t="s">
        <v>888</v>
      </c>
      <c r="D279" s="25" t="s">
        <v>889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736.5</f>
        <v>736.5</v>
      </c>
      <c r="L279" s="32" t="s">
        <v>904</v>
      </c>
      <c r="M279" s="31">
        <f>749.4</f>
        <v>749.4</v>
      </c>
      <c r="N279" s="32" t="s">
        <v>936</v>
      </c>
      <c r="O279" s="31">
        <f>729.2</f>
        <v>729.2</v>
      </c>
      <c r="P279" s="32" t="s">
        <v>813</v>
      </c>
      <c r="Q279" s="31">
        <f>749.4</f>
        <v>749.4</v>
      </c>
      <c r="R279" s="32" t="s">
        <v>936</v>
      </c>
      <c r="S279" s="33">
        <f>740.02</f>
        <v>740.02</v>
      </c>
      <c r="T279" s="30">
        <f>2770</f>
        <v>2770</v>
      </c>
      <c r="U279" s="30" t="str">
        <f>"－"</f>
        <v>－</v>
      </c>
      <c r="V279" s="30">
        <f>2037066</f>
        <v>2037066</v>
      </c>
      <c r="W279" s="30" t="str">
        <f>"－"</f>
        <v>－</v>
      </c>
      <c r="X279" s="34">
        <f>14</f>
        <v>14</v>
      </c>
    </row>
    <row r="280" spans="1:24" x14ac:dyDescent="0.15">
      <c r="A280" s="25" t="s">
        <v>993</v>
      </c>
      <c r="B280" s="25" t="s">
        <v>891</v>
      </c>
      <c r="C280" s="25" t="s">
        <v>892</v>
      </c>
      <c r="D280" s="25" t="s">
        <v>893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1962</f>
        <v>1962</v>
      </c>
      <c r="L280" s="32" t="s">
        <v>904</v>
      </c>
      <c r="M280" s="31">
        <f>2105</f>
        <v>2105</v>
      </c>
      <c r="N280" s="32" t="s">
        <v>821</v>
      </c>
      <c r="O280" s="31">
        <f>1944</f>
        <v>1944</v>
      </c>
      <c r="P280" s="32" t="s">
        <v>904</v>
      </c>
      <c r="Q280" s="31">
        <f>2091</f>
        <v>2091</v>
      </c>
      <c r="R280" s="32" t="s">
        <v>936</v>
      </c>
      <c r="S280" s="33">
        <f>2044.85</f>
        <v>2044.85</v>
      </c>
      <c r="T280" s="30">
        <f>23183</f>
        <v>23183</v>
      </c>
      <c r="U280" s="30" t="str">
        <f>"－"</f>
        <v>－</v>
      </c>
      <c r="V280" s="30">
        <f>48492302</f>
        <v>48492302</v>
      </c>
      <c r="W280" s="30" t="str">
        <f>"－"</f>
        <v>－</v>
      </c>
      <c r="X280" s="34">
        <f>20</f>
        <v>20</v>
      </c>
    </row>
    <row r="281" spans="1:24" x14ac:dyDescent="0.15">
      <c r="A281" s="25" t="s">
        <v>993</v>
      </c>
      <c r="B281" s="25" t="s">
        <v>894</v>
      </c>
      <c r="C281" s="25" t="s">
        <v>895</v>
      </c>
      <c r="D281" s="25" t="s">
        <v>896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1715</f>
        <v>1715</v>
      </c>
      <c r="L281" s="32" t="s">
        <v>904</v>
      </c>
      <c r="M281" s="31">
        <f>1907</f>
        <v>1907</v>
      </c>
      <c r="N281" s="32" t="s">
        <v>936</v>
      </c>
      <c r="O281" s="31">
        <f>1695</f>
        <v>1695</v>
      </c>
      <c r="P281" s="32" t="s">
        <v>904</v>
      </c>
      <c r="Q281" s="31">
        <f>1907</f>
        <v>1907</v>
      </c>
      <c r="R281" s="32" t="s">
        <v>936</v>
      </c>
      <c r="S281" s="33">
        <f>1824.9</f>
        <v>1824.9</v>
      </c>
      <c r="T281" s="30">
        <f>19962</f>
        <v>19962</v>
      </c>
      <c r="U281" s="30" t="str">
        <f>"－"</f>
        <v>－</v>
      </c>
      <c r="V281" s="30">
        <f>36950692</f>
        <v>36950692</v>
      </c>
      <c r="W281" s="30" t="str">
        <f>"－"</f>
        <v>－</v>
      </c>
      <c r="X281" s="34">
        <f>20</f>
        <v>20</v>
      </c>
    </row>
    <row r="282" spans="1:24" x14ac:dyDescent="0.15">
      <c r="A282" s="25" t="s">
        <v>993</v>
      </c>
      <c r="B282" s="25" t="s">
        <v>897</v>
      </c>
      <c r="C282" s="25" t="s">
        <v>898</v>
      </c>
      <c r="D282" s="25" t="s">
        <v>899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7984</f>
        <v>7984</v>
      </c>
      <c r="L282" s="32" t="s">
        <v>904</v>
      </c>
      <c r="M282" s="31">
        <f>8236</f>
        <v>8236</v>
      </c>
      <c r="N282" s="32" t="s">
        <v>915</v>
      </c>
      <c r="O282" s="31">
        <f>7945</f>
        <v>7945</v>
      </c>
      <c r="P282" s="32" t="s">
        <v>821</v>
      </c>
      <c r="Q282" s="31">
        <f>8079</f>
        <v>8079</v>
      </c>
      <c r="R282" s="32" t="s">
        <v>936</v>
      </c>
      <c r="S282" s="33">
        <f>8103.11</f>
        <v>8103.11</v>
      </c>
      <c r="T282" s="30">
        <f>260178</f>
        <v>260178</v>
      </c>
      <c r="U282" s="30">
        <f>255682</f>
        <v>255682</v>
      </c>
      <c r="V282" s="30">
        <f>2117327253</f>
        <v>2117327253</v>
      </c>
      <c r="W282" s="30">
        <f>2080735833</f>
        <v>2080735833</v>
      </c>
      <c r="X282" s="34">
        <f>19</f>
        <v>19</v>
      </c>
    </row>
    <row r="283" spans="1:24" x14ac:dyDescent="0.15">
      <c r="A283" s="25" t="s">
        <v>993</v>
      </c>
      <c r="B283" s="25" t="s">
        <v>900</v>
      </c>
      <c r="C283" s="25" t="s">
        <v>901</v>
      </c>
      <c r="D283" s="25" t="s">
        <v>902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6579</f>
        <v>6579</v>
      </c>
      <c r="L283" s="32" t="s">
        <v>904</v>
      </c>
      <c r="M283" s="31">
        <f>6794</f>
        <v>6794</v>
      </c>
      <c r="N283" s="32" t="s">
        <v>936</v>
      </c>
      <c r="O283" s="31">
        <f>6534</f>
        <v>6534</v>
      </c>
      <c r="P283" s="32" t="s">
        <v>821</v>
      </c>
      <c r="Q283" s="31">
        <f>6794</f>
        <v>6794</v>
      </c>
      <c r="R283" s="32" t="s">
        <v>936</v>
      </c>
      <c r="S283" s="33">
        <f>6662.47</f>
        <v>6662.47</v>
      </c>
      <c r="T283" s="30">
        <f>56438</f>
        <v>56438</v>
      </c>
      <c r="U283" s="30">
        <f>55508</f>
        <v>55508</v>
      </c>
      <c r="V283" s="30">
        <f>374131998</f>
        <v>374131998</v>
      </c>
      <c r="W283" s="30">
        <f>367941474</f>
        <v>367941474</v>
      </c>
      <c r="X283" s="34">
        <f>19</f>
        <v>19</v>
      </c>
    </row>
    <row r="284" spans="1:24" x14ac:dyDescent="0.15">
      <c r="A284" s="25" t="s">
        <v>993</v>
      </c>
      <c r="B284" s="25" t="s">
        <v>916</v>
      </c>
      <c r="C284" s="25" t="s">
        <v>917</v>
      </c>
      <c r="D284" s="25" t="s">
        <v>918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14725</f>
        <v>14725</v>
      </c>
      <c r="L284" s="32" t="s">
        <v>904</v>
      </c>
      <c r="M284" s="31">
        <f>16325</f>
        <v>16325</v>
      </c>
      <c r="N284" s="32" t="s">
        <v>936</v>
      </c>
      <c r="O284" s="31">
        <f>14450</f>
        <v>14450</v>
      </c>
      <c r="P284" s="32" t="s">
        <v>904</v>
      </c>
      <c r="Q284" s="31">
        <f>16150</f>
        <v>16150</v>
      </c>
      <c r="R284" s="32" t="s">
        <v>936</v>
      </c>
      <c r="S284" s="33">
        <f>15499.5</f>
        <v>15499.5</v>
      </c>
      <c r="T284" s="30">
        <f>105864</f>
        <v>105864</v>
      </c>
      <c r="U284" s="30" t="str">
        <f>"－"</f>
        <v>－</v>
      </c>
      <c r="V284" s="30">
        <f>1665407935</f>
        <v>1665407935</v>
      </c>
      <c r="W284" s="30" t="str">
        <f>"－"</f>
        <v>－</v>
      </c>
      <c r="X284" s="34">
        <f>20</f>
        <v>20</v>
      </c>
    </row>
    <row r="285" spans="1:24" x14ac:dyDescent="0.15">
      <c r="A285" s="25" t="s">
        <v>993</v>
      </c>
      <c r="B285" s="25" t="s">
        <v>920</v>
      </c>
      <c r="C285" s="25" t="s">
        <v>921</v>
      </c>
      <c r="D285" s="25" t="s">
        <v>922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8028</f>
        <v>8028</v>
      </c>
      <c r="L285" s="32" t="s">
        <v>904</v>
      </c>
      <c r="M285" s="31">
        <f>8979</f>
        <v>8979</v>
      </c>
      <c r="N285" s="32" t="s">
        <v>936</v>
      </c>
      <c r="O285" s="31">
        <f>7932</f>
        <v>7932</v>
      </c>
      <c r="P285" s="32" t="s">
        <v>904</v>
      </c>
      <c r="Q285" s="31">
        <f>8969</f>
        <v>8969</v>
      </c>
      <c r="R285" s="32" t="s">
        <v>936</v>
      </c>
      <c r="S285" s="33">
        <f>8402.7</f>
        <v>8402.7000000000007</v>
      </c>
      <c r="T285" s="30">
        <f>622638</f>
        <v>622638</v>
      </c>
      <c r="U285" s="30">
        <f>417002</f>
        <v>417002</v>
      </c>
      <c r="V285" s="30">
        <f>5228094654</f>
        <v>5228094654</v>
      </c>
      <c r="W285" s="30">
        <f>3495789466</f>
        <v>3495789466</v>
      </c>
      <c r="X285" s="34">
        <f>20</f>
        <v>20</v>
      </c>
    </row>
    <row r="286" spans="1:24" x14ac:dyDescent="0.15">
      <c r="A286" s="25" t="s">
        <v>993</v>
      </c>
      <c r="B286" s="25" t="s">
        <v>923</v>
      </c>
      <c r="C286" s="25" t="s">
        <v>924</v>
      </c>
      <c r="D286" s="25" t="s">
        <v>925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32770</f>
        <v>32770</v>
      </c>
      <c r="L286" s="32" t="s">
        <v>904</v>
      </c>
      <c r="M286" s="31">
        <f>33180</f>
        <v>33180</v>
      </c>
      <c r="N286" s="32" t="s">
        <v>904</v>
      </c>
      <c r="O286" s="31">
        <f>28990</f>
        <v>28990</v>
      </c>
      <c r="P286" s="32" t="s">
        <v>936</v>
      </c>
      <c r="Q286" s="31">
        <f>28990</f>
        <v>28990</v>
      </c>
      <c r="R286" s="32" t="s">
        <v>936</v>
      </c>
      <c r="S286" s="33">
        <f>31241.5</f>
        <v>31241.5</v>
      </c>
      <c r="T286" s="30">
        <f>312353</f>
        <v>312353</v>
      </c>
      <c r="U286" s="30">
        <f>32000</f>
        <v>32000</v>
      </c>
      <c r="V286" s="30">
        <f>9746574442</f>
        <v>9746574442</v>
      </c>
      <c r="W286" s="30">
        <f>968376627</f>
        <v>968376627</v>
      </c>
      <c r="X286" s="34">
        <f>20</f>
        <v>20</v>
      </c>
    </row>
    <row r="287" spans="1:24" x14ac:dyDescent="0.15">
      <c r="A287" s="25" t="s">
        <v>993</v>
      </c>
      <c r="B287" s="25" t="s">
        <v>926</v>
      </c>
      <c r="C287" s="25" t="s">
        <v>927</v>
      </c>
      <c r="D287" s="25" t="s">
        <v>928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4505</f>
        <v>4505</v>
      </c>
      <c r="L287" s="32" t="s">
        <v>811</v>
      </c>
      <c r="M287" s="31">
        <f>4662</f>
        <v>4662</v>
      </c>
      <c r="N287" s="32" t="s">
        <v>936</v>
      </c>
      <c r="O287" s="31">
        <f>4489</f>
        <v>4489</v>
      </c>
      <c r="P287" s="32" t="s">
        <v>66</v>
      </c>
      <c r="Q287" s="31">
        <f>4662</f>
        <v>4662</v>
      </c>
      <c r="R287" s="32" t="s">
        <v>936</v>
      </c>
      <c r="S287" s="33">
        <f>4538.5</f>
        <v>4538.5</v>
      </c>
      <c r="T287" s="30">
        <f>73970</f>
        <v>73970</v>
      </c>
      <c r="U287" s="30" t="str">
        <f>"－"</f>
        <v>－</v>
      </c>
      <c r="V287" s="30">
        <f>338880410</f>
        <v>338880410</v>
      </c>
      <c r="W287" s="30" t="str">
        <f>"－"</f>
        <v>－</v>
      </c>
      <c r="X287" s="34">
        <f>10</f>
        <v>10</v>
      </c>
    </row>
    <row r="288" spans="1:24" x14ac:dyDescent="0.15">
      <c r="A288" s="25" t="s">
        <v>993</v>
      </c>
      <c r="B288" s="25" t="s">
        <v>930</v>
      </c>
      <c r="C288" s="25" t="s">
        <v>931</v>
      </c>
      <c r="D288" s="25" t="s">
        <v>932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5085</f>
        <v>5085</v>
      </c>
      <c r="L288" s="32" t="s">
        <v>904</v>
      </c>
      <c r="M288" s="31">
        <f>5355</f>
        <v>5355</v>
      </c>
      <c r="N288" s="32" t="s">
        <v>936</v>
      </c>
      <c r="O288" s="31">
        <f>5054</f>
        <v>5054</v>
      </c>
      <c r="P288" s="32" t="s">
        <v>904</v>
      </c>
      <c r="Q288" s="31">
        <f>5299</f>
        <v>5299</v>
      </c>
      <c r="R288" s="32" t="s">
        <v>936</v>
      </c>
      <c r="S288" s="33">
        <f>5188.75</f>
        <v>5188.75</v>
      </c>
      <c r="T288" s="30">
        <f>122090</f>
        <v>122090</v>
      </c>
      <c r="U288" s="30">
        <f>98300</f>
        <v>98300</v>
      </c>
      <c r="V288" s="30">
        <f>627060254</f>
        <v>627060254</v>
      </c>
      <c r="W288" s="30">
        <f>501244824</f>
        <v>501244824</v>
      </c>
      <c r="X288" s="34">
        <f>16</f>
        <v>16</v>
      </c>
    </row>
    <row r="289" spans="1:24" x14ac:dyDescent="0.15">
      <c r="A289" s="25" t="s">
        <v>993</v>
      </c>
      <c r="B289" s="25" t="s">
        <v>949</v>
      </c>
      <c r="C289" s="25" t="s">
        <v>950</v>
      </c>
      <c r="D289" s="25" t="s">
        <v>951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1654</f>
        <v>1654</v>
      </c>
      <c r="L289" s="32" t="s">
        <v>904</v>
      </c>
      <c r="M289" s="31">
        <f>1871.5</f>
        <v>1871.5</v>
      </c>
      <c r="N289" s="32" t="s">
        <v>936</v>
      </c>
      <c r="O289" s="31">
        <f>1652.5</f>
        <v>1652.5</v>
      </c>
      <c r="P289" s="32" t="s">
        <v>904</v>
      </c>
      <c r="Q289" s="31">
        <f>1871</f>
        <v>1871</v>
      </c>
      <c r="R289" s="32" t="s">
        <v>936</v>
      </c>
      <c r="S289" s="33">
        <f>1751.2</f>
        <v>1751.2</v>
      </c>
      <c r="T289" s="30">
        <f>2390050</f>
        <v>2390050</v>
      </c>
      <c r="U289" s="30">
        <f>1661400</f>
        <v>1661400</v>
      </c>
      <c r="V289" s="30">
        <f>4366159061</f>
        <v>4366159061</v>
      </c>
      <c r="W289" s="30">
        <f>3073787831</f>
        <v>3073787831</v>
      </c>
      <c r="X289" s="34">
        <f>20</f>
        <v>20</v>
      </c>
    </row>
    <row r="290" spans="1:24" x14ac:dyDescent="0.15">
      <c r="A290" s="25" t="s">
        <v>993</v>
      </c>
      <c r="B290" s="25" t="s">
        <v>953</v>
      </c>
      <c r="C290" s="25" t="s">
        <v>954</v>
      </c>
      <c r="D290" s="25" t="s">
        <v>955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1812.5</f>
        <v>1812.5</v>
      </c>
      <c r="L290" s="32" t="s">
        <v>904</v>
      </c>
      <c r="M290" s="31">
        <f>1910</f>
        <v>1910</v>
      </c>
      <c r="N290" s="32" t="s">
        <v>936</v>
      </c>
      <c r="O290" s="31">
        <f>1794</f>
        <v>1794</v>
      </c>
      <c r="P290" s="32" t="s">
        <v>904</v>
      </c>
      <c r="Q290" s="31">
        <f>1908</f>
        <v>1908</v>
      </c>
      <c r="R290" s="32" t="s">
        <v>936</v>
      </c>
      <c r="S290" s="33">
        <f>1843.85</f>
        <v>1843.85</v>
      </c>
      <c r="T290" s="30">
        <f>212560</f>
        <v>212560</v>
      </c>
      <c r="U290" s="30" t="str">
        <f t="shared" ref="U290:U296" si="14">"－"</f>
        <v>－</v>
      </c>
      <c r="V290" s="30">
        <f>399283980</f>
        <v>399283980</v>
      </c>
      <c r="W290" s="30" t="str">
        <f t="shared" ref="W290:W296" si="15">"－"</f>
        <v>－</v>
      </c>
      <c r="X290" s="34">
        <f>20</f>
        <v>20</v>
      </c>
    </row>
    <row r="291" spans="1:24" x14ac:dyDescent="0.15">
      <c r="A291" s="25" t="s">
        <v>993</v>
      </c>
      <c r="B291" s="25" t="s">
        <v>956</v>
      </c>
      <c r="C291" s="25" t="s">
        <v>957</v>
      </c>
      <c r="D291" s="25" t="s">
        <v>958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1517</f>
        <v>1517</v>
      </c>
      <c r="L291" s="32" t="s">
        <v>904</v>
      </c>
      <c r="M291" s="31">
        <f>1585</f>
        <v>1585</v>
      </c>
      <c r="N291" s="32" t="s">
        <v>908</v>
      </c>
      <c r="O291" s="31">
        <f>1486</f>
        <v>1486</v>
      </c>
      <c r="P291" s="32" t="s">
        <v>904</v>
      </c>
      <c r="Q291" s="31">
        <f>1577</f>
        <v>1577</v>
      </c>
      <c r="R291" s="32" t="s">
        <v>936</v>
      </c>
      <c r="S291" s="33">
        <f>1542.95</f>
        <v>1542.95</v>
      </c>
      <c r="T291" s="30">
        <f>361</f>
        <v>361</v>
      </c>
      <c r="U291" s="30" t="str">
        <f t="shared" si="14"/>
        <v>－</v>
      </c>
      <c r="V291" s="30">
        <f>552381</f>
        <v>552381</v>
      </c>
      <c r="W291" s="30" t="str">
        <f t="shared" si="15"/>
        <v>－</v>
      </c>
      <c r="X291" s="34">
        <f>19</f>
        <v>19</v>
      </c>
    </row>
    <row r="292" spans="1:24" x14ac:dyDescent="0.15">
      <c r="A292" s="25" t="s">
        <v>993</v>
      </c>
      <c r="B292" s="25" t="s">
        <v>960</v>
      </c>
      <c r="C292" s="25" t="s">
        <v>961</v>
      </c>
      <c r="D292" s="25" t="s">
        <v>962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1494</f>
        <v>1494</v>
      </c>
      <c r="L292" s="32" t="s">
        <v>904</v>
      </c>
      <c r="M292" s="31">
        <f>1560</f>
        <v>1560</v>
      </c>
      <c r="N292" s="32" t="s">
        <v>908</v>
      </c>
      <c r="O292" s="31">
        <f>1464</f>
        <v>1464</v>
      </c>
      <c r="P292" s="32" t="s">
        <v>904</v>
      </c>
      <c r="Q292" s="31">
        <f>1552</f>
        <v>1552</v>
      </c>
      <c r="R292" s="32" t="s">
        <v>936</v>
      </c>
      <c r="S292" s="33">
        <f>1518.85</f>
        <v>1518.85</v>
      </c>
      <c r="T292" s="30">
        <f>442</f>
        <v>442</v>
      </c>
      <c r="U292" s="30" t="str">
        <f t="shared" si="14"/>
        <v>－</v>
      </c>
      <c r="V292" s="30">
        <f>666107</f>
        <v>666107</v>
      </c>
      <c r="W292" s="30" t="str">
        <f t="shared" si="15"/>
        <v>－</v>
      </c>
      <c r="X292" s="34">
        <f>20</f>
        <v>20</v>
      </c>
    </row>
    <row r="293" spans="1:24" x14ac:dyDescent="0.15">
      <c r="A293" s="25" t="s">
        <v>993</v>
      </c>
      <c r="B293" s="25" t="s">
        <v>963</v>
      </c>
      <c r="C293" s="25" t="s">
        <v>964</v>
      </c>
      <c r="D293" s="25" t="s">
        <v>965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3105</f>
        <v>3105</v>
      </c>
      <c r="L293" s="32" t="s">
        <v>904</v>
      </c>
      <c r="M293" s="31">
        <f>3235</f>
        <v>3235</v>
      </c>
      <c r="N293" s="32" t="s">
        <v>87</v>
      </c>
      <c r="O293" s="31">
        <f>3070</f>
        <v>3070</v>
      </c>
      <c r="P293" s="32" t="s">
        <v>904</v>
      </c>
      <c r="Q293" s="31">
        <f>3170</f>
        <v>3170</v>
      </c>
      <c r="R293" s="32" t="s">
        <v>936</v>
      </c>
      <c r="S293" s="33">
        <f>3169.75</f>
        <v>3169.75</v>
      </c>
      <c r="T293" s="30">
        <f>2678</f>
        <v>2678</v>
      </c>
      <c r="U293" s="30" t="str">
        <f t="shared" si="14"/>
        <v>－</v>
      </c>
      <c r="V293" s="30">
        <f>8485885</f>
        <v>8485885</v>
      </c>
      <c r="W293" s="30" t="str">
        <f t="shared" si="15"/>
        <v>－</v>
      </c>
      <c r="X293" s="34">
        <f>20</f>
        <v>20</v>
      </c>
    </row>
    <row r="294" spans="1:24" x14ac:dyDescent="0.15">
      <c r="A294" s="25" t="s">
        <v>993</v>
      </c>
      <c r="B294" s="25" t="s">
        <v>967</v>
      </c>
      <c r="C294" s="25" t="s">
        <v>968</v>
      </c>
      <c r="D294" s="25" t="s">
        <v>969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1905</f>
        <v>1905</v>
      </c>
      <c r="L294" s="32" t="s">
        <v>810</v>
      </c>
      <c r="M294" s="31">
        <f>2032</f>
        <v>2032</v>
      </c>
      <c r="N294" s="32" t="s">
        <v>908</v>
      </c>
      <c r="O294" s="31">
        <f>1903</f>
        <v>1903</v>
      </c>
      <c r="P294" s="32" t="s">
        <v>80</v>
      </c>
      <c r="Q294" s="31">
        <f>2032</f>
        <v>2032</v>
      </c>
      <c r="R294" s="32" t="s">
        <v>908</v>
      </c>
      <c r="S294" s="33">
        <f>1965.94</f>
        <v>1965.94</v>
      </c>
      <c r="T294" s="30">
        <f>1150</f>
        <v>1150</v>
      </c>
      <c r="U294" s="30" t="str">
        <f t="shared" si="14"/>
        <v>－</v>
      </c>
      <c r="V294" s="30">
        <f>2265535</f>
        <v>2265535</v>
      </c>
      <c r="W294" s="30" t="str">
        <f t="shared" si="15"/>
        <v>－</v>
      </c>
      <c r="X294" s="34">
        <f>9</f>
        <v>9</v>
      </c>
    </row>
    <row r="295" spans="1:24" x14ac:dyDescent="0.15">
      <c r="A295" s="25" t="s">
        <v>993</v>
      </c>
      <c r="B295" s="25" t="s">
        <v>982</v>
      </c>
      <c r="C295" s="25" t="s">
        <v>983</v>
      </c>
      <c r="D295" s="25" t="s">
        <v>984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191</f>
        <v>191</v>
      </c>
      <c r="L295" s="32" t="s">
        <v>904</v>
      </c>
      <c r="M295" s="31">
        <f>209</f>
        <v>209</v>
      </c>
      <c r="N295" s="32" t="s">
        <v>266</v>
      </c>
      <c r="O295" s="31">
        <f>187</f>
        <v>187</v>
      </c>
      <c r="P295" s="32" t="s">
        <v>904</v>
      </c>
      <c r="Q295" s="31">
        <f>199</f>
        <v>199</v>
      </c>
      <c r="R295" s="32" t="s">
        <v>936</v>
      </c>
      <c r="S295" s="33">
        <f>195.23</f>
        <v>195.23</v>
      </c>
      <c r="T295" s="30">
        <f>4910</f>
        <v>4910</v>
      </c>
      <c r="U295" s="30" t="str">
        <f t="shared" si="14"/>
        <v>－</v>
      </c>
      <c r="V295" s="30">
        <f>947555</f>
        <v>947555</v>
      </c>
      <c r="W295" s="30" t="str">
        <f t="shared" si="15"/>
        <v>－</v>
      </c>
      <c r="X295" s="34">
        <f>19</f>
        <v>19</v>
      </c>
    </row>
    <row r="296" spans="1:24" x14ac:dyDescent="0.15">
      <c r="A296" s="25" t="s">
        <v>993</v>
      </c>
      <c r="B296" s="25" t="s">
        <v>972</v>
      </c>
      <c r="C296" s="25" t="s">
        <v>973</v>
      </c>
      <c r="D296" s="25" t="s">
        <v>974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200</f>
        <v>200</v>
      </c>
      <c r="L296" s="32" t="s">
        <v>904</v>
      </c>
      <c r="M296" s="31">
        <f>204.1</f>
        <v>204.1</v>
      </c>
      <c r="N296" s="32" t="s">
        <v>812</v>
      </c>
      <c r="O296" s="31">
        <f>198.5</f>
        <v>198.5</v>
      </c>
      <c r="P296" s="32" t="s">
        <v>811</v>
      </c>
      <c r="Q296" s="31">
        <f>204</f>
        <v>204</v>
      </c>
      <c r="R296" s="32" t="s">
        <v>936</v>
      </c>
      <c r="S296" s="33">
        <f>201.52</f>
        <v>201.52</v>
      </c>
      <c r="T296" s="30">
        <f>25770</f>
        <v>25770</v>
      </c>
      <c r="U296" s="30" t="str">
        <f t="shared" si="14"/>
        <v>－</v>
      </c>
      <c r="V296" s="30">
        <f>5173063</f>
        <v>5173063</v>
      </c>
      <c r="W296" s="30" t="str">
        <f t="shared" si="15"/>
        <v>－</v>
      </c>
      <c r="X296" s="34">
        <f>20</f>
        <v>20</v>
      </c>
    </row>
    <row r="297" spans="1:24" x14ac:dyDescent="0.15">
      <c r="A297" s="25" t="s">
        <v>993</v>
      </c>
      <c r="B297" s="25" t="s">
        <v>976</v>
      </c>
      <c r="C297" s="25" t="s">
        <v>977</v>
      </c>
      <c r="D297" s="25" t="s">
        <v>978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776.8</f>
        <v>776.8</v>
      </c>
      <c r="L297" s="32" t="s">
        <v>904</v>
      </c>
      <c r="M297" s="31">
        <f>800.7</f>
        <v>800.7</v>
      </c>
      <c r="N297" s="32" t="s">
        <v>936</v>
      </c>
      <c r="O297" s="31">
        <f>774.7</f>
        <v>774.7</v>
      </c>
      <c r="P297" s="32" t="s">
        <v>912</v>
      </c>
      <c r="Q297" s="31">
        <f>800.7</f>
        <v>800.7</v>
      </c>
      <c r="R297" s="32" t="s">
        <v>936</v>
      </c>
      <c r="S297" s="33">
        <f>784.28</f>
        <v>784.28</v>
      </c>
      <c r="T297" s="30">
        <f>34700</f>
        <v>34700</v>
      </c>
      <c r="U297" s="30">
        <f>33630</f>
        <v>33630</v>
      </c>
      <c r="V297" s="30">
        <f>27196377</f>
        <v>27196377</v>
      </c>
      <c r="W297" s="30">
        <f>26357022</f>
        <v>26357022</v>
      </c>
      <c r="X297" s="34">
        <f>16</f>
        <v>16</v>
      </c>
    </row>
    <row r="298" spans="1:24" x14ac:dyDescent="0.15">
      <c r="A298" s="25" t="s">
        <v>993</v>
      </c>
      <c r="B298" s="25" t="s">
        <v>986</v>
      </c>
      <c r="C298" s="25" t="s">
        <v>987</v>
      </c>
      <c r="D298" s="25" t="s">
        <v>988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1003</f>
        <v>1003</v>
      </c>
      <c r="L298" s="32" t="s">
        <v>904</v>
      </c>
      <c r="M298" s="31">
        <f>1110</f>
        <v>1110</v>
      </c>
      <c r="N298" s="32" t="s">
        <v>812</v>
      </c>
      <c r="O298" s="31">
        <f>979</f>
        <v>979</v>
      </c>
      <c r="P298" s="32" t="s">
        <v>904</v>
      </c>
      <c r="Q298" s="31">
        <f>1086</f>
        <v>1086</v>
      </c>
      <c r="R298" s="32" t="s">
        <v>936</v>
      </c>
      <c r="S298" s="33">
        <f>1047.9</f>
        <v>1047.9000000000001</v>
      </c>
      <c r="T298" s="30">
        <f>237741</f>
        <v>237741</v>
      </c>
      <c r="U298" s="30" t="str">
        <f>"－"</f>
        <v>－</v>
      </c>
      <c r="V298" s="30">
        <f>248775175</f>
        <v>248775175</v>
      </c>
      <c r="W298" s="30" t="str">
        <f>"－"</f>
        <v>－</v>
      </c>
      <c r="X298" s="34">
        <f>20</f>
        <v>20</v>
      </c>
    </row>
    <row r="299" spans="1:24" x14ac:dyDescent="0.15">
      <c r="A299" s="25" t="s">
        <v>993</v>
      </c>
      <c r="B299" s="25" t="s">
        <v>990</v>
      </c>
      <c r="C299" s="25" t="s">
        <v>991</v>
      </c>
      <c r="D299" s="25" t="s">
        <v>992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1029</f>
        <v>1029</v>
      </c>
      <c r="L299" s="32" t="s">
        <v>904</v>
      </c>
      <c r="M299" s="31">
        <f>1069</f>
        <v>1069</v>
      </c>
      <c r="N299" s="32" t="s">
        <v>812</v>
      </c>
      <c r="O299" s="31">
        <f>1016</f>
        <v>1016</v>
      </c>
      <c r="P299" s="32" t="s">
        <v>904</v>
      </c>
      <c r="Q299" s="31">
        <f>1062</f>
        <v>1062</v>
      </c>
      <c r="R299" s="32" t="s">
        <v>936</v>
      </c>
      <c r="S299" s="33">
        <f>1040.95</f>
        <v>1040.95</v>
      </c>
      <c r="T299" s="30">
        <f>195291</f>
        <v>195291</v>
      </c>
      <c r="U299" s="30">
        <f>60000</f>
        <v>60000</v>
      </c>
      <c r="V299" s="30">
        <f>203194621</f>
        <v>203194621</v>
      </c>
      <c r="W299" s="30">
        <f>61884000</f>
        <v>61884000</v>
      </c>
      <c r="X299" s="34">
        <f>20</f>
        <v>20</v>
      </c>
    </row>
    <row r="300" spans="1:24" x14ac:dyDescent="0.15">
      <c r="A300" s="25" t="s">
        <v>993</v>
      </c>
      <c r="B300" s="25" t="s">
        <v>995</v>
      </c>
      <c r="C300" s="25" t="s">
        <v>996</v>
      </c>
      <c r="D300" s="25" t="s">
        <v>997</v>
      </c>
      <c r="E300" s="26" t="s">
        <v>808</v>
      </c>
      <c r="F300" s="27" t="s">
        <v>809</v>
      </c>
      <c r="G300" s="28" t="s">
        <v>998</v>
      </c>
      <c r="H300" s="29"/>
      <c r="I300" s="29" t="s">
        <v>46</v>
      </c>
      <c r="J300" s="30">
        <v>10</v>
      </c>
      <c r="K300" s="31">
        <f>805.1</f>
        <v>805.1</v>
      </c>
      <c r="L300" s="32" t="s">
        <v>266</v>
      </c>
      <c r="M300" s="31">
        <f>818.5</f>
        <v>818.5</v>
      </c>
      <c r="N300" s="32" t="s">
        <v>94</v>
      </c>
      <c r="O300" s="31">
        <f>802.9</f>
        <v>802.9</v>
      </c>
      <c r="P300" s="32" t="s">
        <v>94</v>
      </c>
      <c r="Q300" s="31">
        <f>809.3</f>
        <v>809.3</v>
      </c>
      <c r="R300" s="32" t="s">
        <v>936</v>
      </c>
      <c r="S300" s="33">
        <f>805.27</f>
        <v>805.27</v>
      </c>
      <c r="T300" s="30">
        <f>8700</f>
        <v>8700</v>
      </c>
      <c r="U300" s="30" t="str">
        <f>"－"</f>
        <v>－</v>
      </c>
      <c r="V300" s="30">
        <f>7007038</f>
        <v>7007038</v>
      </c>
      <c r="W300" s="30" t="str">
        <f>"－"</f>
        <v>－</v>
      </c>
      <c r="X300" s="34">
        <f>3</f>
        <v>3</v>
      </c>
    </row>
    <row r="301" spans="1:24" x14ac:dyDescent="0.15">
      <c r="A301" s="25" t="s">
        <v>993</v>
      </c>
      <c r="B301" s="25" t="s">
        <v>999</v>
      </c>
      <c r="C301" s="25" t="s">
        <v>1000</v>
      </c>
      <c r="D301" s="25" t="s">
        <v>1001</v>
      </c>
      <c r="E301" s="26" t="s">
        <v>808</v>
      </c>
      <c r="F301" s="27" t="s">
        <v>809</v>
      </c>
      <c r="G301" s="28" t="s">
        <v>998</v>
      </c>
      <c r="H301" s="29"/>
      <c r="I301" s="29" t="s">
        <v>46</v>
      </c>
      <c r="J301" s="30">
        <v>10</v>
      </c>
      <c r="K301" s="31">
        <f>809</f>
        <v>809</v>
      </c>
      <c r="L301" s="32" t="s">
        <v>266</v>
      </c>
      <c r="M301" s="31">
        <f>817.8</f>
        <v>817.8</v>
      </c>
      <c r="N301" s="32" t="s">
        <v>266</v>
      </c>
      <c r="O301" s="31">
        <f>800</f>
        <v>800</v>
      </c>
      <c r="P301" s="32" t="s">
        <v>94</v>
      </c>
      <c r="Q301" s="31">
        <f>815</f>
        <v>815</v>
      </c>
      <c r="R301" s="32" t="s">
        <v>936</v>
      </c>
      <c r="S301" s="33">
        <f>808.33</f>
        <v>808.33</v>
      </c>
      <c r="T301" s="30">
        <f>125560</f>
        <v>125560</v>
      </c>
      <c r="U301" s="30" t="str">
        <f>"－"</f>
        <v>－</v>
      </c>
      <c r="V301" s="30">
        <f>101421069</f>
        <v>101421069</v>
      </c>
      <c r="W301" s="30" t="str">
        <f>"－"</f>
        <v>－</v>
      </c>
      <c r="X301" s="34">
        <f>3</f>
        <v>3</v>
      </c>
    </row>
    <row r="302" spans="1:24" x14ac:dyDescent="0.15">
      <c r="A302" s="25" t="s">
        <v>993</v>
      </c>
      <c r="B302" s="25" t="s">
        <v>1002</v>
      </c>
      <c r="C302" s="25" t="s">
        <v>1003</v>
      </c>
      <c r="D302" s="25" t="s">
        <v>1004</v>
      </c>
      <c r="E302" s="26" t="s">
        <v>808</v>
      </c>
      <c r="F302" s="27" t="s">
        <v>809</v>
      </c>
      <c r="G302" s="28" t="s">
        <v>1005</v>
      </c>
      <c r="H302" s="29"/>
      <c r="I302" s="29" t="s">
        <v>46</v>
      </c>
      <c r="J302" s="30">
        <v>1</v>
      </c>
      <c r="K302" s="31">
        <f>1003</f>
        <v>1003</v>
      </c>
      <c r="L302" s="32" t="s">
        <v>936</v>
      </c>
      <c r="M302" s="31">
        <f>1003</f>
        <v>1003</v>
      </c>
      <c r="N302" s="32" t="s">
        <v>936</v>
      </c>
      <c r="O302" s="31">
        <f>1000</f>
        <v>1000</v>
      </c>
      <c r="P302" s="32" t="s">
        <v>936</v>
      </c>
      <c r="Q302" s="31">
        <f>1002</f>
        <v>1002</v>
      </c>
      <c r="R302" s="32" t="s">
        <v>936</v>
      </c>
      <c r="S302" s="33">
        <f>1002</f>
        <v>1002</v>
      </c>
      <c r="T302" s="30">
        <f>5913</f>
        <v>5913</v>
      </c>
      <c r="U302" s="30" t="str">
        <f>"－"</f>
        <v>－</v>
      </c>
      <c r="V302" s="30">
        <f>5921730</f>
        <v>5921730</v>
      </c>
      <c r="W302" s="30" t="str">
        <f>"－"</f>
        <v>－</v>
      </c>
      <c r="X302" s="34">
        <f>1</f>
        <v>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014B-6E4E-481D-B485-EEED610A8477}">
  <sheetPr>
    <pageSetUpPr fitToPage="1"/>
  </sheetPr>
  <dimension ref="A1:X299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979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2043.5</f>
        <v>2043.5</v>
      </c>
      <c r="L7" s="32" t="s">
        <v>904</v>
      </c>
      <c r="M7" s="31">
        <f>2109</f>
        <v>2109</v>
      </c>
      <c r="N7" s="32" t="s">
        <v>911</v>
      </c>
      <c r="O7" s="31">
        <f>1928</f>
        <v>1928</v>
      </c>
      <c r="P7" s="32" t="s">
        <v>87</v>
      </c>
      <c r="Q7" s="31">
        <f>1997.5</f>
        <v>1997.5</v>
      </c>
      <c r="R7" s="32" t="s">
        <v>934</v>
      </c>
      <c r="S7" s="33">
        <f>2020.32</f>
        <v>2020.32</v>
      </c>
      <c r="T7" s="30">
        <f>10512390</f>
        <v>10512390</v>
      </c>
      <c r="U7" s="30">
        <f>5040200</f>
        <v>5040200</v>
      </c>
      <c r="V7" s="30">
        <f>21387722573</f>
        <v>21387722573</v>
      </c>
      <c r="W7" s="30">
        <f>10353682393</f>
        <v>10353682393</v>
      </c>
      <c r="X7" s="34">
        <f>22</f>
        <v>22</v>
      </c>
    </row>
    <row r="8" spans="1:24" x14ac:dyDescent="0.15">
      <c r="A8" s="25" t="s">
        <v>979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2020</f>
        <v>2020</v>
      </c>
      <c r="L8" s="32" t="s">
        <v>904</v>
      </c>
      <c r="M8" s="31">
        <f>2086</f>
        <v>2086</v>
      </c>
      <c r="N8" s="32" t="s">
        <v>911</v>
      </c>
      <c r="O8" s="31">
        <f>1906.5</f>
        <v>1906.5</v>
      </c>
      <c r="P8" s="32" t="s">
        <v>87</v>
      </c>
      <c r="Q8" s="31">
        <f>1974.5</f>
        <v>1974.5</v>
      </c>
      <c r="R8" s="32" t="s">
        <v>934</v>
      </c>
      <c r="S8" s="33">
        <f>1998.48</f>
        <v>1998.48</v>
      </c>
      <c r="T8" s="30">
        <f>56649770</f>
        <v>56649770</v>
      </c>
      <c r="U8" s="30">
        <f>8885990</f>
        <v>8885990</v>
      </c>
      <c r="V8" s="30">
        <f>112744816430</f>
        <v>112744816430</v>
      </c>
      <c r="W8" s="30">
        <f>17752116640</f>
        <v>17752116640</v>
      </c>
      <c r="X8" s="34">
        <f>22</f>
        <v>22</v>
      </c>
    </row>
    <row r="9" spans="1:24" x14ac:dyDescent="0.15">
      <c r="A9" s="25" t="s">
        <v>979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1996.5</f>
        <v>1996.5</v>
      </c>
      <c r="L9" s="32" t="s">
        <v>904</v>
      </c>
      <c r="M9" s="31">
        <f>2062</f>
        <v>2062</v>
      </c>
      <c r="N9" s="32" t="s">
        <v>911</v>
      </c>
      <c r="O9" s="31">
        <f>1885.5</f>
        <v>1885.5</v>
      </c>
      <c r="P9" s="32" t="s">
        <v>87</v>
      </c>
      <c r="Q9" s="31">
        <f>1956</f>
        <v>1956</v>
      </c>
      <c r="R9" s="32" t="s">
        <v>934</v>
      </c>
      <c r="S9" s="33">
        <f>1976.43</f>
        <v>1976.43</v>
      </c>
      <c r="T9" s="30">
        <f>15630700</f>
        <v>15630700</v>
      </c>
      <c r="U9" s="30">
        <f>5510800</f>
        <v>5510800</v>
      </c>
      <c r="V9" s="30">
        <f>31021152350</f>
        <v>31021152350</v>
      </c>
      <c r="W9" s="30">
        <f>11027432300</f>
        <v>11027432300</v>
      </c>
      <c r="X9" s="34">
        <f>22</f>
        <v>22</v>
      </c>
    </row>
    <row r="10" spans="1:24" x14ac:dyDescent="0.15">
      <c r="A10" s="25" t="s">
        <v>979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40890</f>
        <v>40890</v>
      </c>
      <c r="L10" s="32" t="s">
        <v>904</v>
      </c>
      <c r="M10" s="31">
        <f>46920</f>
        <v>46920</v>
      </c>
      <c r="N10" s="32" t="s">
        <v>934</v>
      </c>
      <c r="O10" s="31">
        <f>40510</f>
        <v>40510</v>
      </c>
      <c r="P10" s="32" t="s">
        <v>904</v>
      </c>
      <c r="Q10" s="31">
        <f>46880</f>
        <v>46880</v>
      </c>
      <c r="R10" s="32" t="s">
        <v>934</v>
      </c>
      <c r="S10" s="33">
        <f>43639.55</f>
        <v>43639.55</v>
      </c>
      <c r="T10" s="30">
        <f>7021</f>
        <v>7021</v>
      </c>
      <c r="U10" s="30" t="str">
        <f>"－"</f>
        <v>－</v>
      </c>
      <c r="V10" s="30">
        <f>307717550</f>
        <v>307717550</v>
      </c>
      <c r="W10" s="30" t="str">
        <f>"－"</f>
        <v>－</v>
      </c>
      <c r="X10" s="34">
        <f>22</f>
        <v>22</v>
      </c>
    </row>
    <row r="11" spans="1:24" x14ac:dyDescent="0.15">
      <c r="A11" s="25" t="s">
        <v>979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952.9</f>
        <v>952.9</v>
      </c>
      <c r="L11" s="32" t="s">
        <v>904</v>
      </c>
      <c r="M11" s="31">
        <f>978.5</f>
        <v>978.5</v>
      </c>
      <c r="N11" s="32" t="s">
        <v>911</v>
      </c>
      <c r="O11" s="31">
        <f>883</f>
        <v>883</v>
      </c>
      <c r="P11" s="32" t="s">
        <v>87</v>
      </c>
      <c r="Q11" s="31">
        <f>907.1</f>
        <v>907.1</v>
      </c>
      <c r="R11" s="32" t="s">
        <v>934</v>
      </c>
      <c r="S11" s="33">
        <f>929.2</f>
        <v>929.2</v>
      </c>
      <c r="T11" s="30">
        <f>111790</f>
        <v>111790</v>
      </c>
      <c r="U11" s="30">
        <f>10</f>
        <v>10</v>
      </c>
      <c r="V11" s="30">
        <f>103789203</f>
        <v>103789203</v>
      </c>
      <c r="W11" s="30">
        <f>10000</f>
        <v>10000</v>
      </c>
      <c r="X11" s="34">
        <f>22</f>
        <v>22</v>
      </c>
    </row>
    <row r="12" spans="1:24" x14ac:dyDescent="0.15">
      <c r="A12" s="25" t="s">
        <v>979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19320</f>
        <v>19320</v>
      </c>
      <c r="L12" s="32" t="s">
        <v>904</v>
      </c>
      <c r="M12" s="31">
        <f>19645</f>
        <v>19645</v>
      </c>
      <c r="N12" s="32" t="s">
        <v>911</v>
      </c>
      <c r="O12" s="31">
        <f>18100</f>
        <v>18100</v>
      </c>
      <c r="P12" s="32" t="s">
        <v>819</v>
      </c>
      <c r="Q12" s="31">
        <f>18975</f>
        <v>18975</v>
      </c>
      <c r="R12" s="32" t="s">
        <v>934</v>
      </c>
      <c r="S12" s="33">
        <f>19008.33</f>
        <v>19008.330000000002</v>
      </c>
      <c r="T12" s="30">
        <f>683</f>
        <v>683</v>
      </c>
      <c r="U12" s="30">
        <f>2</f>
        <v>2</v>
      </c>
      <c r="V12" s="30">
        <f>12986180</f>
        <v>12986180</v>
      </c>
      <c r="W12" s="30">
        <f>38590</f>
        <v>38590</v>
      </c>
      <c r="X12" s="34">
        <f>21</f>
        <v>21</v>
      </c>
    </row>
    <row r="13" spans="1:24" x14ac:dyDescent="0.15">
      <c r="A13" s="25" t="s">
        <v>979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3650</f>
        <v>3650</v>
      </c>
      <c r="L13" s="32" t="s">
        <v>907</v>
      </c>
      <c r="M13" s="31">
        <f>3908</f>
        <v>3908</v>
      </c>
      <c r="N13" s="32" t="s">
        <v>70</v>
      </c>
      <c r="O13" s="31">
        <f>3399</f>
        <v>3399</v>
      </c>
      <c r="P13" s="32" t="s">
        <v>934</v>
      </c>
      <c r="Q13" s="31">
        <f>3399</f>
        <v>3399</v>
      </c>
      <c r="R13" s="32" t="s">
        <v>934</v>
      </c>
      <c r="S13" s="33">
        <f>3619.56</f>
        <v>3619.56</v>
      </c>
      <c r="T13" s="30">
        <f>2310</f>
        <v>2310</v>
      </c>
      <c r="U13" s="30" t="str">
        <f>"－"</f>
        <v>－</v>
      </c>
      <c r="V13" s="30">
        <f>8212210</f>
        <v>8212210</v>
      </c>
      <c r="W13" s="30" t="str">
        <f>"－"</f>
        <v>－</v>
      </c>
      <c r="X13" s="34">
        <f>18</f>
        <v>18</v>
      </c>
    </row>
    <row r="14" spans="1:24" x14ac:dyDescent="0.15">
      <c r="A14" s="25" t="s">
        <v>979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358</f>
        <v>358</v>
      </c>
      <c r="L14" s="32" t="s">
        <v>904</v>
      </c>
      <c r="M14" s="31">
        <f>365.6</f>
        <v>365.6</v>
      </c>
      <c r="N14" s="32" t="s">
        <v>907</v>
      </c>
      <c r="O14" s="31">
        <f>340.1</f>
        <v>340.1</v>
      </c>
      <c r="P14" s="32" t="s">
        <v>66</v>
      </c>
      <c r="Q14" s="31">
        <f>345.2</f>
        <v>345.2</v>
      </c>
      <c r="R14" s="32" t="s">
        <v>934</v>
      </c>
      <c r="S14" s="33">
        <f>353.01</f>
        <v>353.01</v>
      </c>
      <c r="T14" s="30">
        <f>85000</f>
        <v>85000</v>
      </c>
      <c r="U14" s="30" t="str">
        <f>"－"</f>
        <v>－</v>
      </c>
      <c r="V14" s="30">
        <f>29951700</f>
        <v>29951700</v>
      </c>
      <c r="W14" s="30" t="str">
        <f>"－"</f>
        <v>－</v>
      </c>
      <c r="X14" s="34">
        <f>15</f>
        <v>15</v>
      </c>
    </row>
    <row r="15" spans="1:24" x14ac:dyDescent="0.15">
      <c r="A15" s="25" t="s">
        <v>979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28390</f>
        <v>28390</v>
      </c>
      <c r="L15" s="32" t="s">
        <v>904</v>
      </c>
      <c r="M15" s="31">
        <f>29520</f>
        <v>29520</v>
      </c>
      <c r="N15" s="32" t="s">
        <v>911</v>
      </c>
      <c r="O15" s="31">
        <f>26540</f>
        <v>26540</v>
      </c>
      <c r="P15" s="32" t="s">
        <v>87</v>
      </c>
      <c r="Q15" s="31">
        <f>27465</f>
        <v>27465</v>
      </c>
      <c r="R15" s="32" t="s">
        <v>934</v>
      </c>
      <c r="S15" s="33">
        <f>28041.82</f>
        <v>28041.82</v>
      </c>
      <c r="T15" s="30">
        <f>1715044</f>
        <v>1715044</v>
      </c>
      <c r="U15" s="30">
        <f>176671</f>
        <v>176671</v>
      </c>
      <c r="V15" s="30">
        <f>48144086156</f>
        <v>48144086156</v>
      </c>
      <c r="W15" s="30">
        <f>4967795111</f>
        <v>4967795111</v>
      </c>
      <c r="X15" s="34">
        <f>22</f>
        <v>22</v>
      </c>
    </row>
    <row r="16" spans="1:24" x14ac:dyDescent="0.15">
      <c r="A16" s="25" t="s">
        <v>979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28430</f>
        <v>28430</v>
      </c>
      <c r="L16" s="32" t="s">
        <v>904</v>
      </c>
      <c r="M16" s="31">
        <f>29575</f>
        <v>29575</v>
      </c>
      <c r="N16" s="32" t="s">
        <v>911</v>
      </c>
      <c r="O16" s="31">
        <f>26590</f>
        <v>26590</v>
      </c>
      <c r="P16" s="32" t="s">
        <v>87</v>
      </c>
      <c r="Q16" s="31">
        <f>27510</f>
        <v>27510</v>
      </c>
      <c r="R16" s="32" t="s">
        <v>934</v>
      </c>
      <c r="S16" s="33">
        <f>28097.5</f>
        <v>28097.5</v>
      </c>
      <c r="T16" s="30">
        <f>6165024</f>
        <v>6165024</v>
      </c>
      <c r="U16" s="30">
        <f>484003</f>
        <v>484003</v>
      </c>
      <c r="V16" s="30">
        <f>172818279628</f>
        <v>172818279628</v>
      </c>
      <c r="W16" s="30">
        <f>13613889858</f>
        <v>13613889858</v>
      </c>
      <c r="X16" s="34">
        <f>22</f>
        <v>22</v>
      </c>
    </row>
    <row r="17" spans="1:24" x14ac:dyDescent="0.15">
      <c r="A17" s="25" t="s">
        <v>979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7780</f>
        <v>7780</v>
      </c>
      <c r="L17" s="32" t="s">
        <v>904</v>
      </c>
      <c r="M17" s="31">
        <f>9000</f>
        <v>9000</v>
      </c>
      <c r="N17" s="32" t="s">
        <v>936</v>
      </c>
      <c r="O17" s="31">
        <f>7775</f>
        <v>7775</v>
      </c>
      <c r="P17" s="32" t="s">
        <v>909</v>
      </c>
      <c r="Q17" s="31">
        <f>8968</f>
        <v>8968</v>
      </c>
      <c r="R17" s="32" t="s">
        <v>934</v>
      </c>
      <c r="S17" s="33">
        <f>8432.36</f>
        <v>8432.36</v>
      </c>
      <c r="T17" s="30">
        <f>20350</f>
        <v>20350</v>
      </c>
      <c r="U17" s="30" t="str">
        <f>"－"</f>
        <v>－</v>
      </c>
      <c r="V17" s="30">
        <f>172521790</f>
        <v>172521790</v>
      </c>
      <c r="W17" s="30" t="str">
        <f>"－"</f>
        <v>－</v>
      </c>
      <c r="X17" s="34">
        <f>22</f>
        <v>22</v>
      </c>
    </row>
    <row r="18" spans="1:24" x14ac:dyDescent="0.15">
      <c r="A18" s="25" t="s">
        <v>979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 t="s">
        <v>910</v>
      </c>
      <c r="I18" s="29"/>
      <c r="J18" s="30">
        <v>100</v>
      </c>
      <c r="K18" s="31">
        <f>560.5</f>
        <v>560.5</v>
      </c>
      <c r="L18" s="32" t="s">
        <v>904</v>
      </c>
      <c r="M18" s="31">
        <f>580</f>
        <v>580</v>
      </c>
      <c r="N18" s="32" t="s">
        <v>80</v>
      </c>
      <c r="O18" s="31">
        <f>500</f>
        <v>500</v>
      </c>
      <c r="P18" s="32" t="s">
        <v>87</v>
      </c>
      <c r="Q18" s="31">
        <f>520.9</f>
        <v>520.9</v>
      </c>
      <c r="R18" s="32" t="s">
        <v>934</v>
      </c>
      <c r="S18" s="33">
        <f>530.46</f>
        <v>530.46</v>
      </c>
      <c r="T18" s="30">
        <f>387400</f>
        <v>387400</v>
      </c>
      <c r="U18" s="30" t="str">
        <f>"－"</f>
        <v>－</v>
      </c>
      <c r="V18" s="30">
        <f>205093260</f>
        <v>205093260</v>
      </c>
      <c r="W18" s="30" t="str">
        <f>"－"</f>
        <v>－</v>
      </c>
      <c r="X18" s="34">
        <f>22</f>
        <v>22</v>
      </c>
    </row>
    <row r="19" spans="1:24" x14ac:dyDescent="0.15">
      <c r="A19" s="25" t="s">
        <v>979</v>
      </c>
      <c r="B19" s="25" t="s">
        <v>84</v>
      </c>
      <c r="C19" s="25" t="s">
        <v>980</v>
      </c>
      <c r="D19" s="25" t="s">
        <v>981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 t="str">
        <f>"－"</f>
        <v>－</v>
      </c>
      <c r="L19" s="32"/>
      <c r="M19" s="31" t="str">
        <f>"－"</f>
        <v>－</v>
      </c>
      <c r="N19" s="32"/>
      <c r="O19" s="31" t="str">
        <f>"－"</f>
        <v>－</v>
      </c>
      <c r="P19" s="32"/>
      <c r="Q19" s="31" t="str">
        <f>"－"</f>
        <v>－</v>
      </c>
      <c r="R19" s="32"/>
      <c r="S19" s="33" t="str">
        <f>"－"</f>
        <v>－</v>
      </c>
      <c r="T19" s="30" t="str">
        <f>"－"</f>
        <v>－</v>
      </c>
      <c r="U19" s="30" t="str">
        <f>"－"</f>
        <v>－</v>
      </c>
      <c r="V19" s="30" t="str">
        <f>"－"</f>
        <v>－</v>
      </c>
      <c r="W19" s="30" t="str">
        <f>"－"</f>
        <v>－</v>
      </c>
      <c r="X19" s="34" t="str">
        <f>"－"</f>
        <v>－</v>
      </c>
    </row>
    <row r="20" spans="1:24" x14ac:dyDescent="0.15">
      <c r="A20" s="25" t="s">
        <v>979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220</f>
        <v>220</v>
      </c>
      <c r="L20" s="32" t="s">
        <v>904</v>
      </c>
      <c r="M20" s="31">
        <f>222.1</f>
        <v>222.1</v>
      </c>
      <c r="N20" s="32" t="s">
        <v>912</v>
      </c>
      <c r="O20" s="31">
        <f>190.2</f>
        <v>190.2</v>
      </c>
      <c r="P20" s="32" t="s">
        <v>87</v>
      </c>
      <c r="Q20" s="31">
        <f>195.2</f>
        <v>195.2</v>
      </c>
      <c r="R20" s="32" t="s">
        <v>934</v>
      </c>
      <c r="S20" s="33">
        <f>206.63</f>
        <v>206.63</v>
      </c>
      <c r="T20" s="30">
        <f>469400</f>
        <v>469400</v>
      </c>
      <c r="U20" s="30" t="str">
        <f>"－"</f>
        <v>－</v>
      </c>
      <c r="V20" s="30">
        <f>96674340</f>
        <v>96674340</v>
      </c>
      <c r="W20" s="30" t="str">
        <f>"－"</f>
        <v>－</v>
      </c>
      <c r="X20" s="34">
        <f>22</f>
        <v>22</v>
      </c>
    </row>
    <row r="21" spans="1:24" x14ac:dyDescent="0.15">
      <c r="A21" s="25" t="s">
        <v>979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22040</f>
        <v>22040</v>
      </c>
      <c r="L21" s="32" t="s">
        <v>904</v>
      </c>
      <c r="M21" s="31">
        <f>23605</f>
        <v>23605</v>
      </c>
      <c r="N21" s="32" t="s">
        <v>56</v>
      </c>
      <c r="O21" s="31">
        <f>22040</f>
        <v>22040</v>
      </c>
      <c r="P21" s="32" t="s">
        <v>904</v>
      </c>
      <c r="Q21" s="31">
        <f>23080</f>
        <v>23080</v>
      </c>
      <c r="R21" s="32" t="s">
        <v>934</v>
      </c>
      <c r="S21" s="33">
        <f>22945.91</f>
        <v>22945.91</v>
      </c>
      <c r="T21" s="30">
        <f>206468</f>
        <v>206468</v>
      </c>
      <c r="U21" s="30">
        <f>30428</f>
        <v>30428</v>
      </c>
      <c r="V21" s="30">
        <f>4752310422</f>
        <v>4752310422</v>
      </c>
      <c r="W21" s="30">
        <f>705064997</f>
        <v>705064997</v>
      </c>
      <c r="X21" s="34">
        <f>22</f>
        <v>22</v>
      </c>
    </row>
    <row r="22" spans="1:24" x14ac:dyDescent="0.15">
      <c r="A22" s="25" t="s">
        <v>979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5925</f>
        <v>5925</v>
      </c>
      <c r="L22" s="32" t="s">
        <v>904</v>
      </c>
      <c r="M22" s="31">
        <f>6350</f>
        <v>6350</v>
      </c>
      <c r="N22" s="32" t="s">
        <v>56</v>
      </c>
      <c r="O22" s="31">
        <f>5921</f>
        <v>5921</v>
      </c>
      <c r="P22" s="32" t="s">
        <v>904</v>
      </c>
      <c r="Q22" s="31">
        <f>6209</f>
        <v>6209</v>
      </c>
      <c r="R22" s="32" t="s">
        <v>934</v>
      </c>
      <c r="S22" s="33">
        <f>6167.68</f>
        <v>6167.68</v>
      </c>
      <c r="T22" s="30">
        <f>170260</f>
        <v>170260</v>
      </c>
      <c r="U22" s="30">
        <f>5220</f>
        <v>5220</v>
      </c>
      <c r="V22" s="30">
        <f>1050543620</f>
        <v>1050543620</v>
      </c>
      <c r="W22" s="30">
        <f>32275140</f>
        <v>32275140</v>
      </c>
      <c r="X22" s="34">
        <f>22</f>
        <v>22</v>
      </c>
    </row>
    <row r="23" spans="1:24" x14ac:dyDescent="0.15">
      <c r="A23" s="25" t="s">
        <v>979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28370</f>
        <v>28370</v>
      </c>
      <c r="L23" s="32" t="s">
        <v>904</v>
      </c>
      <c r="M23" s="31">
        <f>29505</f>
        <v>29505</v>
      </c>
      <c r="N23" s="32" t="s">
        <v>911</v>
      </c>
      <c r="O23" s="31">
        <f>26520</f>
        <v>26520</v>
      </c>
      <c r="P23" s="32" t="s">
        <v>87</v>
      </c>
      <c r="Q23" s="31">
        <f>27445</f>
        <v>27445</v>
      </c>
      <c r="R23" s="32" t="s">
        <v>934</v>
      </c>
      <c r="S23" s="33">
        <f>28015</f>
        <v>28015</v>
      </c>
      <c r="T23" s="30">
        <f>1318791</f>
        <v>1318791</v>
      </c>
      <c r="U23" s="30">
        <f>609245</f>
        <v>609245</v>
      </c>
      <c r="V23" s="30">
        <f>36998825039</f>
        <v>36998825039</v>
      </c>
      <c r="W23" s="30">
        <f>17047397399</f>
        <v>17047397399</v>
      </c>
      <c r="X23" s="34">
        <f>22</f>
        <v>22</v>
      </c>
    </row>
    <row r="24" spans="1:24" x14ac:dyDescent="0.15">
      <c r="A24" s="25" t="s">
        <v>979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28460</f>
        <v>28460</v>
      </c>
      <c r="L24" s="32" t="s">
        <v>904</v>
      </c>
      <c r="M24" s="31">
        <f>29610</f>
        <v>29610</v>
      </c>
      <c r="N24" s="32" t="s">
        <v>911</v>
      </c>
      <c r="O24" s="31">
        <f>26630</f>
        <v>26630</v>
      </c>
      <c r="P24" s="32" t="s">
        <v>87</v>
      </c>
      <c r="Q24" s="31">
        <f>27565</f>
        <v>27565</v>
      </c>
      <c r="R24" s="32" t="s">
        <v>934</v>
      </c>
      <c r="S24" s="33">
        <f>28133.41</f>
        <v>28133.41</v>
      </c>
      <c r="T24" s="30">
        <f>1409540</f>
        <v>1409540</v>
      </c>
      <c r="U24" s="30">
        <f>320260</f>
        <v>320260</v>
      </c>
      <c r="V24" s="30">
        <f>39706854320</f>
        <v>39706854320</v>
      </c>
      <c r="W24" s="30">
        <f>9167797470</f>
        <v>9167797470</v>
      </c>
      <c r="X24" s="34">
        <f>22</f>
        <v>22</v>
      </c>
    </row>
    <row r="25" spans="1:24" x14ac:dyDescent="0.15">
      <c r="A25" s="25" t="s">
        <v>979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2156</f>
        <v>2156</v>
      </c>
      <c r="L25" s="32" t="s">
        <v>904</v>
      </c>
      <c r="M25" s="31">
        <f>2170</f>
        <v>2170</v>
      </c>
      <c r="N25" s="32" t="s">
        <v>911</v>
      </c>
      <c r="O25" s="31">
        <f>2016</f>
        <v>2016</v>
      </c>
      <c r="P25" s="32" t="s">
        <v>915</v>
      </c>
      <c r="Q25" s="31">
        <f>2113.5</f>
        <v>2113.5</v>
      </c>
      <c r="R25" s="32" t="s">
        <v>934</v>
      </c>
      <c r="S25" s="33">
        <f>2102.5</f>
        <v>2102.5</v>
      </c>
      <c r="T25" s="30">
        <f>12452570</f>
        <v>12452570</v>
      </c>
      <c r="U25" s="30">
        <f>3914360</f>
        <v>3914360</v>
      </c>
      <c r="V25" s="30">
        <f>26229326027</f>
        <v>26229326027</v>
      </c>
      <c r="W25" s="30">
        <f>8273677932</f>
        <v>8273677932</v>
      </c>
      <c r="X25" s="34">
        <f>22</f>
        <v>22</v>
      </c>
    </row>
    <row r="26" spans="1:24" x14ac:dyDescent="0.15">
      <c r="A26" s="25" t="s">
        <v>979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2030</f>
        <v>2030</v>
      </c>
      <c r="L26" s="32" t="s">
        <v>904</v>
      </c>
      <c r="M26" s="31">
        <f>2049</f>
        <v>2049</v>
      </c>
      <c r="N26" s="32" t="s">
        <v>911</v>
      </c>
      <c r="O26" s="31">
        <f>1901</f>
        <v>1901</v>
      </c>
      <c r="P26" s="32" t="s">
        <v>915</v>
      </c>
      <c r="Q26" s="31">
        <f>1996.5</f>
        <v>1996.5</v>
      </c>
      <c r="R26" s="32" t="s">
        <v>934</v>
      </c>
      <c r="S26" s="33">
        <f>1988.68</f>
        <v>1988.68</v>
      </c>
      <c r="T26" s="30">
        <f>3228100</f>
        <v>3228100</v>
      </c>
      <c r="U26" s="30">
        <f>506100</f>
        <v>506100</v>
      </c>
      <c r="V26" s="30">
        <f>6389359160</f>
        <v>6389359160</v>
      </c>
      <c r="W26" s="30">
        <f>1017048460</f>
        <v>1017048460</v>
      </c>
      <c r="X26" s="34">
        <f>22</f>
        <v>22</v>
      </c>
    </row>
    <row r="27" spans="1:24" x14ac:dyDescent="0.15">
      <c r="A27" s="25" t="s">
        <v>979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28350</f>
        <v>28350</v>
      </c>
      <c r="L27" s="32" t="s">
        <v>904</v>
      </c>
      <c r="M27" s="31">
        <f>29495</f>
        <v>29495</v>
      </c>
      <c r="N27" s="32" t="s">
        <v>911</v>
      </c>
      <c r="O27" s="31">
        <f>26530</f>
        <v>26530</v>
      </c>
      <c r="P27" s="32" t="s">
        <v>87</v>
      </c>
      <c r="Q27" s="31">
        <f>27475</f>
        <v>27475</v>
      </c>
      <c r="R27" s="32" t="s">
        <v>934</v>
      </c>
      <c r="S27" s="33">
        <f>28025</f>
        <v>28025</v>
      </c>
      <c r="T27" s="30">
        <f>1351992</f>
        <v>1351992</v>
      </c>
      <c r="U27" s="30">
        <f>796974</f>
        <v>796974</v>
      </c>
      <c r="V27" s="30">
        <f>38817858089</f>
        <v>38817858089</v>
      </c>
      <c r="W27" s="30">
        <f>23198441604</f>
        <v>23198441604</v>
      </c>
      <c r="X27" s="34">
        <f>22</f>
        <v>22</v>
      </c>
    </row>
    <row r="28" spans="1:24" x14ac:dyDescent="0.15">
      <c r="A28" s="25" t="s">
        <v>979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2000.5</f>
        <v>2000.5</v>
      </c>
      <c r="L28" s="32" t="s">
        <v>904</v>
      </c>
      <c r="M28" s="31">
        <f>2066</f>
        <v>2066</v>
      </c>
      <c r="N28" s="32" t="s">
        <v>911</v>
      </c>
      <c r="O28" s="31">
        <f>1889</f>
        <v>1889</v>
      </c>
      <c r="P28" s="32" t="s">
        <v>87</v>
      </c>
      <c r="Q28" s="31">
        <f>1998</f>
        <v>1998</v>
      </c>
      <c r="R28" s="32" t="s">
        <v>934</v>
      </c>
      <c r="S28" s="33">
        <f>1982.16</f>
        <v>1982.16</v>
      </c>
      <c r="T28" s="30">
        <f>3640070</f>
        <v>3640070</v>
      </c>
      <c r="U28" s="30">
        <f>242900</f>
        <v>242900</v>
      </c>
      <c r="V28" s="30">
        <f>7221947940</f>
        <v>7221947940</v>
      </c>
      <c r="W28" s="30">
        <f>487933560</f>
        <v>487933560</v>
      </c>
      <c r="X28" s="34">
        <f>22</f>
        <v>22</v>
      </c>
    </row>
    <row r="29" spans="1:24" x14ac:dyDescent="0.15">
      <c r="A29" s="25" t="s">
        <v>979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14250</f>
        <v>14250</v>
      </c>
      <c r="L29" s="32" t="s">
        <v>904</v>
      </c>
      <c r="M29" s="31">
        <f>14795</f>
        <v>14795</v>
      </c>
      <c r="N29" s="32" t="s">
        <v>905</v>
      </c>
      <c r="O29" s="31">
        <f>14175</f>
        <v>14175</v>
      </c>
      <c r="P29" s="32" t="s">
        <v>904</v>
      </c>
      <c r="Q29" s="31">
        <f>14570</f>
        <v>14570</v>
      </c>
      <c r="R29" s="32" t="s">
        <v>934</v>
      </c>
      <c r="S29" s="33">
        <f>14540.68</f>
        <v>14540.68</v>
      </c>
      <c r="T29" s="30">
        <f>2404</f>
        <v>2404</v>
      </c>
      <c r="U29" s="30" t="str">
        <f>"－"</f>
        <v>－</v>
      </c>
      <c r="V29" s="30">
        <f>34767180</f>
        <v>34767180</v>
      </c>
      <c r="W29" s="30" t="str">
        <f>"－"</f>
        <v>－</v>
      </c>
      <c r="X29" s="34">
        <f>22</f>
        <v>22</v>
      </c>
    </row>
    <row r="30" spans="1:24" x14ac:dyDescent="0.15">
      <c r="A30" s="25" t="s">
        <v>979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1015</f>
        <v>1015</v>
      </c>
      <c r="L30" s="32" t="s">
        <v>904</v>
      </c>
      <c r="M30" s="31">
        <f>1132</f>
        <v>1132</v>
      </c>
      <c r="N30" s="32" t="s">
        <v>87</v>
      </c>
      <c r="O30" s="31">
        <f>950</f>
        <v>950</v>
      </c>
      <c r="P30" s="32" t="s">
        <v>911</v>
      </c>
      <c r="Q30" s="31">
        <f>1052</f>
        <v>1052</v>
      </c>
      <c r="R30" s="32" t="s">
        <v>934</v>
      </c>
      <c r="S30" s="33">
        <f>1033.38</f>
        <v>1033.3800000000001</v>
      </c>
      <c r="T30" s="30">
        <f>8015330</f>
        <v>8015330</v>
      </c>
      <c r="U30" s="30">
        <f>90</f>
        <v>90</v>
      </c>
      <c r="V30" s="30">
        <f>8314507374</f>
        <v>8314507374</v>
      </c>
      <c r="W30" s="30">
        <f>91072</f>
        <v>91072</v>
      </c>
      <c r="X30" s="34">
        <f>22</f>
        <v>22</v>
      </c>
    </row>
    <row r="31" spans="1:24" x14ac:dyDescent="0.15">
      <c r="A31" s="25" t="s">
        <v>979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391</f>
        <v>391</v>
      </c>
      <c r="L31" s="32" t="s">
        <v>904</v>
      </c>
      <c r="M31" s="31">
        <f>445</f>
        <v>445</v>
      </c>
      <c r="N31" s="32" t="s">
        <v>87</v>
      </c>
      <c r="O31" s="31">
        <f>361</f>
        <v>361</v>
      </c>
      <c r="P31" s="32" t="s">
        <v>911</v>
      </c>
      <c r="Q31" s="31">
        <f>414</f>
        <v>414</v>
      </c>
      <c r="R31" s="32" t="s">
        <v>934</v>
      </c>
      <c r="S31" s="33">
        <f>400.05</f>
        <v>400.05</v>
      </c>
      <c r="T31" s="30">
        <f>1396307029</f>
        <v>1396307029</v>
      </c>
      <c r="U31" s="30">
        <f>10055885</f>
        <v>10055885</v>
      </c>
      <c r="V31" s="30">
        <f>562573980529</f>
        <v>562573980529</v>
      </c>
      <c r="W31" s="30">
        <f>3958331319</f>
        <v>3958331319</v>
      </c>
      <c r="X31" s="34">
        <f>22</f>
        <v>22</v>
      </c>
    </row>
    <row r="32" spans="1:24" x14ac:dyDescent="0.15">
      <c r="A32" s="25" t="s">
        <v>979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26080</f>
        <v>26080</v>
      </c>
      <c r="L32" s="32" t="s">
        <v>904</v>
      </c>
      <c r="M32" s="31">
        <f>28175</f>
        <v>28175</v>
      </c>
      <c r="N32" s="32" t="s">
        <v>911</v>
      </c>
      <c r="O32" s="31">
        <f>22700</f>
        <v>22700</v>
      </c>
      <c r="P32" s="32" t="s">
        <v>87</v>
      </c>
      <c r="Q32" s="31">
        <f>24295</f>
        <v>24295</v>
      </c>
      <c r="R32" s="32" t="s">
        <v>934</v>
      </c>
      <c r="S32" s="33">
        <f>25395.23</f>
        <v>25395.23</v>
      </c>
      <c r="T32" s="30">
        <f>543338</f>
        <v>543338</v>
      </c>
      <c r="U32" s="30">
        <f>12</f>
        <v>12</v>
      </c>
      <c r="V32" s="30">
        <f>13629848895</f>
        <v>13629848895</v>
      </c>
      <c r="W32" s="30">
        <f>321780</f>
        <v>321780</v>
      </c>
      <c r="X32" s="34">
        <f>22</f>
        <v>22</v>
      </c>
    </row>
    <row r="33" spans="1:24" x14ac:dyDescent="0.15">
      <c r="A33" s="25" t="s">
        <v>979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956.4</f>
        <v>956.4</v>
      </c>
      <c r="L33" s="32" t="s">
        <v>904</v>
      </c>
      <c r="M33" s="31">
        <f>1085</f>
        <v>1085</v>
      </c>
      <c r="N33" s="32" t="s">
        <v>87</v>
      </c>
      <c r="O33" s="31">
        <f>882.3</f>
        <v>882.3</v>
      </c>
      <c r="P33" s="32" t="s">
        <v>911</v>
      </c>
      <c r="Q33" s="31">
        <f>1009</f>
        <v>1009</v>
      </c>
      <c r="R33" s="32" t="s">
        <v>934</v>
      </c>
      <c r="S33" s="33">
        <f>976.27</f>
        <v>976.27</v>
      </c>
      <c r="T33" s="30">
        <f>255527800</f>
        <v>255527800</v>
      </c>
      <c r="U33" s="30">
        <f>145220</f>
        <v>145220</v>
      </c>
      <c r="V33" s="30">
        <f>251790150764</f>
        <v>251790150764</v>
      </c>
      <c r="W33" s="30">
        <f>144521740</f>
        <v>144521740</v>
      </c>
      <c r="X33" s="34">
        <f>22</f>
        <v>22</v>
      </c>
    </row>
    <row r="34" spans="1:24" x14ac:dyDescent="0.15">
      <c r="A34" s="25" t="s">
        <v>979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17650</f>
        <v>17650</v>
      </c>
      <c r="L34" s="32" t="s">
        <v>904</v>
      </c>
      <c r="M34" s="31">
        <f>18300</f>
        <v>18300</v>
      </c>
      <c r="N34" s="32" t="s">
        <v>912</v>
      </c>
      <c r="O34" s="31">
        <f>16705</f>
        <v>16705</v>
      </c>
      <c r="P34" s="32" t="s">
        <v>87</v>
      </c>
      <c r="Q34" s="31">
        <f>17300</f>
        <v>17300</v>
      </c>
      <c r="R34" s="32" t="s">
        <v>934</v>
      </c>
      <c r="S34" s="33">
        <f>17531.59</f>
        <v>17531.59</v>
      </c>
      <c r="T34" s="30">
        <f>75185</f>
        <v>75185</v>
      </c>
      <c r="U34" s="30">
        <f>69787</f>
        <v>69787</v>
      </c>
      <c r="V34" s="30">
        <f>1322142192</f>
        <v>1322142192</v>
      </c>
      <c r="W34" s="30">
        <f>1225774652</f>
        <v>1225774652</v>
      </c>
      <c r="X34" s="34">
        <f>22</f>
        <v>22</v>
      </c>
    </row>
    <row r="35" spans="1:24" x14ac:dyDescent="0.15">
      <c r="A35" s="25" t="s">
        <v>979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21610</f>
        <v>21610</v>
      </c>
      <c r="L35" s="32" t="s">
        <v>904</v>
      </c>
      <c r="M35" s="31">
        <f>23395</f>
        <v>23395</v>
      </c>
      <c r="N35" s="32" t="s">
        <v>911</v>
      </c>
      <c r="O35" s="31">
        <f>18840</f>
        <v>18840</v>
      </c>
      <c r="P35" s="32" t="s">
        <v>87</v>
      </c>
      <c r="Q35" s="31">
        <f>20180</f>
        <v>20180</v>
      </c>
      <c r="R35" s="32" t="s">
        <v>934</v>
      </c>
      <c r="S35" s="33">
        <f>21079.32</f>
        <v>21079.32</v>
      </c>
      <c r="T35" s="30">
        <f>1354084</f>
        <v>1354084</v>
      </c>
      <c r="U35" s="30">
        <f>6</f>
        <v>6</v>
      </c>
      <c r="V35" s="30">
        <f>28344757215</f>
        <v>28344757215</v>
      </c>
      <c r="W35" s="30">
        <f>130880</f>
        <v>130880</v>
      </c>
      <c r="X35" s="34">
        <f>22</f>
        <v>22</v>
      </c>
    </row>
    <row r="36" spans="1:24" x14ac:dyDescent="0.15">
      <c r="A36" s="25" t="s">
        <v>979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1022</f>
        <v>1022</v>
      </c>
      <c r="L36" s="32" t="s">
        <v>904</v>
      </c>
      <c r="M36" s="31">
        <f>1159</f>
        <v>1159</v>
      </c>
      <c r="N36" s="32" t="s">
        <v>87</v>
      </c>
      <c r="O36" s="31">
        <f>942</f>
        <v>942</v>
      </c>
      <c r="P36" s="32" t="s">
        <v>911</v>
      </c>
      <c r="Q36" s="31">
        <f>1077</f>
        <v>1077</v>
      </c>
      <c r="R36" s="32" t="s">
        <v>934</v>
      </c>
      <c r="S36" s="33">
        <f>1042.77</f>
        <v>1042.77</v>
      </c>
      <c r="T36" s="30">
        <f>31051820</f>
        <v>31051820</v>
      </c>
      <c r="U36" s="30">
        <f>450699</f>
        <v>450699</v>
      </c>
      <c r="V36" s="30">
        <f>32810446456</f>
        <v>32810446456</v>
      </c>
      <c r="W36" s="30">
        <f>446302716</f>
        <v>446302716</v>
      </c>
      <c r="X36" s="34">
        <f>22</f>
        <v>22</v>
      </c>
    </row>
    <row r="37" spans="1:24" x14ac:dyDescent="0.15">
      <c r="A37" s="25" t="s">
        <v>979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18120</f>
        <v>18120</v>
      </c>
      <c r="L37" s="32" t="s">
        <v>904</v>
      </c>
      <c r="M37" s="31">
        <f>19350</f>
        <v>19350</v>
      </c>
      <c r="N37" s="32" t="s">
        <v>911</v>
      </c>
      <c r="O37" s="31">
        <f>16100</f>
        <v>16100</v>
      </c>
      <c r="P37" s="32" t="s">
        <v>87</v>
      </c>
      <c r="Q37" s="31">
        <f>17290</f>
        <v>17290</v>
      </c>
      <c r="R37" s="32" t="s">
        <v>934</v>
      </c>
      <c r="S37" s="33">
        <f>17743.18</f>
        <v>17743.18</v>
      </c>
      <c r="T37" s="30">
        <f>171543</f>
        <v>171543</v>
      </c>
      <c r="U37" s="30" t="str">
        <f>"－"</f>
        <v>－</v>
      </c>
      <c r="V37" s="30">
        <f>3004842235</f>
        <v>3004842235</v>
      </c>
      <c r="W37" s="30" t="str">
        <f>"－"</f>
        <v>－</v>
      </c>
      <c r="X37" s="34">
        <f>22</f>
        <v>22</v>
      </c>
    </row>
    <row r="38" spans="1:24" x14ac:dyDescent="0.15">
      <c r="A38" s="25" t="s">
        <v>979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1474</f>
        <v>1474</v>
      </c>
      <c r="L38" s="32" t="s">
        <v>904</v>
      </c>
      <c r="M38" s="31">
        <f>1640</f>
        <v>1640</v>
      </c>
      <c r="N38" s="32" t="s">
        <v>87</v>
      </c>
      <c r="O38" s="31">
        <f>1377</f>
        <v>1377</v>
      </c>
      <c r="P38" s="32" t="s">
        <v>911</v>
      </c>
      <c r="Q38" s="31">
        <f>1526</f>
        <v>1526</v>
      </c>
      <c r="R38" s="32" t="s">
        <v>934</v>
      </c>
      <c r="S38" s="33">
        <f>1497.32</f>
        <v>1497.32</v>
      </c>
      <c r="T38" s="30">
        <f>1299507</f>
        <v>1299507</v>
      </c>
      <c r="U38" s="30">
        <f>7</f>
        <v>7</v>
      </c>
      <c r="V38" s="30">
        <f>1971089958</f>
        <v>1971089958</v>
      </c>
      <c r="W38" s="30">
        <f>10451</f>
        <v>10451</v>
      </c>
      <c r="X38" s="34">
        <f>22</f>
        <v>22</v>
      </c>
    </row>
    <row r="39" spans="1:24" x14ac:dyDescent="0.15">
      <c r="A39" s="25" t="s">
        <v>979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27525</f>
        <v>27525</v>
      </c>
      <c r="L39" s="32" t="s">
        <v>904</v>
      </c>
      <c r="M39" s="31">
        <f>28610</f>
        <v>28610</v>
      </c>
      <c r="N39" s="32" t="s">
        <v>911</v>
      </c>
      <c r="O39" s="31">
        <f>25750</f>
        <v>25750</v>
      </c>
      <c r="P39" s="32" t="s">
        <v>87</v>
      </c>
      <c r="Q39" s="31">
        <f>26665</f>
        <v>26665</v>
      </c>
      <c r="R39" s="32" t="s">
        <v>934</v>
      </c>
      <c r="S39" s="33">
        <f>27201.36</f>
        <v>27201.360000000001</v>
      </c>
      <c r="T39" s="30">
        <f>248683</f>
        <v>248683</v>
      </c>
      <c r="U39" s="30">
        <f>93606</f>
        <v>93606</v>
      </c>
      <c r="V39" s="30">
        <f>6713952739</f>
        <v>6713952739</v>
      </c>
      <c r="W39" s="30">
        <f>2518923504</f>
        <v>2518923504</v>
      </c>
      <c r="X39" s="34">
        <f>22</f>
        <v>22</v>
      </c>
    </row>
    <row r="40" spans="1:24" x14ac:dyDescent="0.15">
      <c r="A40" s="25" t="s">
        <v>979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5460</f>
        <v>5460</v>
      </c>
      <c r="L40" s="32" t="s">
        <v>904</v>
      </c>
      <c r="M40" s="31">
        <f>5600</f>
        <v>5600</v>
      </c>
      <c r="N40" s="32" t="s">
        <v>912</v>
      </c>
      <c r="O40" s="31">
        <f>4990</f>
        <v>4990</v>
      </c>
      <c r="P40" s="32" t="s">
        <v>819</v>
      </c>
      <c r="Q40" s="31">
        <f>5150</f>
        <v>5150</v>
      </c>
      <c r="R40" s="32" t="s">
        <v>934</v>
      </c>
      <c r="S40" s="33">
        <f>5299.09</f>
        <v>5299.09</v>
      </c>
      <c r="T40" s="30">
        <f>7669</f>
        <v>7669</v>
      </c>
      <c r="U40" s="30" t="str">
        <f t="shared" ref="U40:U49" si="0">"－"</f>
        <v>－</v>
      </c>
      <c r="V40" s="30">
        <f>40861860</f>
        <v>40861860</v>
      </c>
      <c r="W40" s="30" t="str">
        <f t="shared" ref="W40:W49" si="1">"－"</f>
        <v>－</v>
      </c>
      <c r="X40" s="34">
        <f>22</f>
        <v>22</v>
      </c>
    </row>
    <row r="41" spans="1:24" x14ac:dyDescent="0.15">
      <c r="A41" s="25" t="s">
        <v>979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10195</f>
        <v>10195</v>
      </c>
      <c r="L41" s="32" t="s">
        <v>904</v>
      </c>
      <c r="M41" s="31">
        <f>10485</f>
        <v>10485</v>
      </c>
      <c r="N41" s="32" t="s">
        <v>911</v>
      </c>
      <c r="O41" s="31">
        <f>9402</f>
        <v>9402</v>
      </c>
      <c r="P41" s="32" t="s">
        <v>819</v>
      </c>
      <c r="Q41" s="31">
        <f>9735</f>
        <v>9735</v>
      </c>
      <c r="R41" s="32" t="s">
        <v>934</v>
      </c>
      <c r="S41" s="33">
        <f>9996.19</f>
        <v>9996.19</v>
      </c>
      <c r="T41" s="30">
        <f>1937</f>
        <v>1937</v>
      </c>
      <c r="U41" s="30" t="str">
        <f t="shared" si="0"/>
        <v>－</v>
      </c>
      <c r="V41" s="30">
        <f>19098202</f>
        <v>19098202</v>
      </c>
      <c r="W41" s="30" t="str">
        <f t="shared" si="1"/>
        <v>－</v>
      </c>
      <c r="X41" s="34">
        <f>21</f>
        <v>21</v>
      </c>
    </row>
    <row r="42" spans="1:24" x14ac:dyDescent="0.15">
      <c r="A42" s="25" t="s">
        <v>979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19085</f>
        <v>19085</v>
      </c>
      <c r="L42" s="32" t="s">
        <v>907</v>
      </c>
      <c r="M42" s="31">
        <f>19370</f>
        <v>19370</v>
      </c>
      <c r="N42" s="32" t="s">
        <v>80</v>
      </c>
      <c r="O42" s="31">
        <f>17270</f>
        <v>17270</v>
      </c>
      <c r="P42" s="32" t="s">
        <v>819</v>
      </c>
      <c r="Q42" s="31">
        <f>18215</f>
        <v>18215</v>
      </c>
      <c r="R42" s="32" t="s">
        <v>934</v>
      </c>
      <c r="S42" s="33">
        <f>18295.91</f>
        <v>18295.91</v>
      </c>
      <c r="T42" s="30">
        <f>122</f>
        <v>122</v>
      </c>
      <c r="U42" s="30" t="str">
        <f t="shared" si="0"/>
        <v>－</v>
      </c>
      <c r="V42" s="30">
        <f>2183830</f>
        <v>2183830</v>
      </c>
      <c r="W42" s="30" t="str">
        <f t="shared" si="1"/>
        <v>－</v>
      </c>
      <c r="X42" s="34">
        <f>11</f>
        <v>11</v>
      </c>
    </row>
    <row r="43" spans="1:24" x14ac:dyDescent="0.15">
      <c r="A43" s="25" t="s">
        <v>979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17180</f>
        <v>17180</v>
      </c>
      <c r="L43" s="32" t="s">
        <v>70</v>
      </c>
      <c r="M43" s="31">
        <f>17710</f>
        <v>17710</v>
      </c>
      <c r="N43" s="32" t="s">
        <v>911</v>
      </c>
      <c r="O43" s="31">
        <f>15545</f>
        <v>15545</v>
      </c>
      <c r="P43" s="32" t="s">
        <v>87</v>
      </c>
      <c r="Q43" s="31">
        <f>15600</f>
        <v>15600</v>
      </c>
      <c r="R43" s="32" t="s">
        <v>66</v>
      </c>
      <c r="S43" s="33">
        <f>16629.38</f>
        <v>16629.38</v>
      </c>
      <c r="T43" s="30">
        <f>16</f>
        <v>16</v>
      </c>
      <c r="U43" s="30" t="str">
        <f t="shared" si="0"/>
        <v>－</v>
      </c>
      <c r="V43" s="30">
        <f>268340</f>
        <v>268340</v>
      </c>
      <c r="W43" s="30" t="str">
        <f t="shared" si="1"/>
        <v>－</v>
      </c>
      <c r="X43" s="34">
        <f>8</f>
        <v>8</v>
      </c>
    </row>
    <row r="44" spans="1:24" x14ac:dyDescent="0.15">
      <c r="A44" s="25" t="s">
        <v>979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11630</f>
        <v>11630</v>
      </c>
      <c r="L44" s="32" t="s">
        <v>904</v>
      </c>
      <c r="M44" s="31">
        <f>12070</f>
        <v>12070</v>
      </c>
      <c r="N44" s="32" t="s">
        <v>912</v>
      </c>
      <c r="O44" s="31">
        <f>10650</f>
        <v>10650</v>
      </c>
      <c r="P44" s="32" t="s">
        <v>819</v>
      </c>
      <c r="Q44" s="31">
        <f>11385</f>
        <v>11385</v>
      </c>
      <c r="R44" s="32" t="s">
        <v>934</v>
      </c>
      <c r="S44" s="33">
        <f>11315</f>
        <v>11315</v>
      </c>
      <c r="T44" s="30">
        <f>1268</f>
        <v>1268</v>
      </c>
      <c r="U44" s="30" t="str">
        <f t="shared" si="0"/>
        <v>－</v>
      </c>
      <c r="V44" s="30">
        <f>14311905</f>
        <v>14311905</v>
      </c>
      <c r="W44" s="30" t="str">
        <f t="shared" si="1"/>
        <v>－</v>
      </c>
      <c r="X44" s="34">
        <f>22</f>
        <v>22</v>
      </c>
    </row>
    <row r="45" spans="1:24" x14ac:dyDescent="0.15">
      <c r="A45" s="25" t="s">
        <v>979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5760</f>
        <v>5760</v>
      </c>
      <c r="L45" s="32" t="s">
        <v>904</v>
      </c>
      <c r="M45" s="31">
        <f>6000</f>
        <v>6000</v>
      </c>
      <c r="N45" s="32" t="s">
        <v>70</v>
      </c>
      <c r="O45" s="31">
        <f>5430</f>
        <v>5430</v>
      </c>
      <c r="P45" s="32" t="s">
        <v>819</v>
      </c>
      <c r="Q45" s="31">
        <f>5670</f>
        <v>5670</v>
      </c>
      <c r="R45" s="32" t="s">
        <v>934</v>
      </c>
      <c r="S45" s="33">
        <f>5686.82</f>
        <v>5686.82</v>
      </c>
      <c r="T45" s="30">
        <f>2882</f>
        <v>2882</v>
      </c>
      <c r="U45" s="30" t="str">
        <f t="shared" si="0"/>
        <v>－</v>
      </c>
      <c r="V45" s="30">
        <f>16467460</f>
        <v>16467460</v>
      </c>
      <c r="W45" s="30" t="str">
        <f t="shared" si="1"/>
        <v>－</v>
      </c>
      <c r="X45" s="34">
        <f>22</f>
        <v>22</v>
      </c>
    </row>
    <row r="46" spans="1:24" x14ac:dyDescent="0.15">
      <c r="A46" s="25" t="s">
        <v>979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3080</f>
        <v>3080</v>
      </c>
      <c r="L46" s="32" t="s">
        <v>904</v>
      </c>
      <c r="M46" s="31">
        <f>3090</f>
        <v>3090</v>
      </c>
      <c r="N46" s="32" t="s">
        <v>70</v>
      </c>
      <c r="O46" s="31">
        <f>2837</f>
        <v>2837</v>
      </c>
      <c r="P46" s="32" t="s">
        <v>66</v>
      </c>
      <c r="Q46" s="31">
        <f>3050</f>
        <v>3050</v>
      </c>
      <c r="R46" s="32" t="s">
        <v>934</v>
      </c>
      <c r="S46" s="33">
        <f>2982.73</f>
        <v>2982.73</v>
      </c>
      <c r="T46" s="30">
        <f>14860</f>
        <v>14860</v>
      </c>
      <c r="U46" s="30" t="str">
        <f t="shared" si="0"/>
        <v>－</v>
      </c>
      <c r="V46" s="30">
        <f>43664245</f>
        <v>43664245</v>
      </c>
      <c r="W46" s="30" t="str">
        <f t="shared" si="1"/>
        <v>－</v>
      </c>
      <c r="X46" s="34">
        <f>22</f>
        <v>22</v>
      </c>
    </row>
    <row r="47" spans="1:24" x14ac:dyDescent="0.15">
      <c r="A47" s="25" t="s">
        <v>979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3150</f>
        <v>3150</v>
      </c>
      <c r="L47" s="32" t="s">
        <v>904</v>
      </c>
      <c r="M47" s="31">
        <f>3330</f>
        <v>3330</v>
      </c>
      <c r="N47" s="32" t="s">
        <v>911</v>
      </c>
      <c r="O47" s="31">
        <f>2918</f>
        <v>2918</v>
      </c>
      <c r="P47" s="32" t="s">
        <v>87</v>
      </c>
      <c r="Q47" s="31">
        <f>3090</f>
        <v>3090</v>
      </c>
      <c r="R47" s="32" t="s">
        <v>934</v>
      </c>
      <c r="S47" s="33">
        <f>3106.09</f>
        <v>3106.09</v>
      </c>
      <c r="T47" s="30">
        <f>2121</f>
        <v>2121</v>
      </c>
      <c r="U47" s="30" t="str">
        <f t="shared" si="0"/>
        <v>－</v>
      </c>
      <c r="V47" s="30">
        <f>6632773</f>
        <v>6632773</v>
      </c>
      <c r="W47" s="30" t="str">
        <f t="shared" si="1"/>
        <v>－</v>
      </c>
      <c r="X47" s="34">
        <f>22</f>
        <v>22</v>
      </c>
    </row>
    <row r="48" spans="1:24" x14ac:dyDescent="0.15">
      <c r="A48" s="25" t="s">
        <v>979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52270</f>
        <v>52270</v>
      </c>
      <c r="L48" s="32" t="s">
        <v>904</v>
      </c>
      <c r="M48" s="31">
        <f>54050</f>
        <v>54050</v>
      </c>
      <c r="N48" s="32" t="s">
        <v>911</v>
      </c>
      <c r="O48" s="31">
        <f>48270</f>
        <v>48270</v>
      </c>
      <c r="P48" s="32" t="s">
        <v>819</v>
      </c>
      <c r="Q48" s="31">
        <f>51510</f>
        <v>51510</v>
      </c>
      <c r="R48" s="32" t="s">
        <v>934</v>
      </c>
      <c r="S48" s="33">
        <f>51192.73</f>
        <v>51192.73</v>
      </c>
      <c r="T48" s="30">
        <f>1130</f>
        <v>1130</v>
      </c>
      <c r="U48" s="30" t="str">
        <f t="shared" si="0"/>
        <v>－</v>
      </c>
      <c r="V48" s="30">
        <f>57300600</f>
        <v>57300600</v>
      </c>
      <c r="W48" s="30" t="str">
        <f t="shared" si="1"/>
        <v>－</v>
      </c>
      <c r="X48" s="34">
        <f>22</f>
        <v>22</v>
      </c>
    </row>
    <row r="49" spans="1:24" x14ac:dyDescent="0.15">
      <c r="A49" s="25" t="s">
        <v>979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37000</f>
        <v>37000</v>
      </c>
      <c r="L49" s="32" t="s">
        <v>904</v>
      </c>
      <c r="M49" s="31">
        <f>38800</f>
        <v>38800</v>
      </c>
      <c r="N49" s="32" t="s">
        <v>911</v>
      </c>
      <c r="O49" s="31">
        <f>34580</f>
        <v>34580</v>
      </c>
      <c r="P49" s="32" t="s">
        <v>819</v>
      </c>
      <c r="Q49" s="31">
        <f>36330</f>
        <v>36330</v>
      </c>
      <c r="R49" s="32" t="s">
        <v>936</v>
      </c>
      <c r="S49" s="33">
        <f>36238.95</f>
        <v>36238.949999999997</v>
      </c>
      <c r="T49" s="30">
        <f>228</f>
        <v>228</v>
      </c>
      <c r="U49" s="30" t="str">
        <f t="shared" si="0"/>
        <v>－</v>
      </c>
      <c r="V49" s="30">
        <f>8391890</f>
        <v>8391890</v>
      </c>
      <c r="W49" s="30" t="str">
        <f t="shared" si="1"/>
        <v>－</v>
      </c>
      <c r="X49" s="34">
        <f>19</f>
        <v>19</v>
      </c>
    </row>
    <row r="50" spans="1:24" x14ac:dyDescent="0.15">
      <c r="A50" s="25" t="s">
        <v>979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27555</f>
        <v>27555</v>
      </c>
      <c r="L50" s="32" t="s">
        <v>904</v>
      </c>
      <c r="M50" s="31">
        <f>28600</f>
        <v>28600</v>
      </c>
      <c r="N50" s="32" t="s">
        <v>911</v>
      </c>
      <c r="O50" s="31">
        <f>25750</f>
        <v>25750</v>
      </c>
      <c r="P50" s="32" t="s">
        <v>87</v>
      </c>
      <c r="Q50" s="31">
        <f>26600</f>
        <v>26600</v>
      </c>
      <c r="R50" s="32" t="s">
        <v>934</v>
      </c>
      <c r="S50" s="33">
        <f>27125.48</f>
        <v>27125.48</v>
      </c>
      <c r="T50" s="30">
        <f>55362</f>
        <v>55362</v>
      </c>
      <c r="U50" s="30">
        <f>49800</f>
        <v>49800</v>
      </c>
      <c r="V50" s="30">
        <f>1481686515</f>
        <v>1481686515</v>
      </c>
      <c r="W50" s="30">
        <f>1332845600</f>
        <v>1332845600</v>
      </c>
      <c r="X50" s="34">
        <f>21</f>
        <v>21</v>
      </c>
    </row>
    <row r="51" spans="1:24" x14ac:dyDescent="0.15">
      <c r="A51" s="25" t="s">
        <v>979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2049</f>
        <v>2049</v>
      </c>
      <c r="L51" s="32" t="s">
        <v>904</v>
      </c>
      <c r="M51" s="31">
        <f>2065</f>
        <v>2065</v>
      </c>
      <c r="N51" s="32" t="s">
        <v>907</v>
      </c>
      <c r="O51" s="31">
        <f>1917</f>
        <v>1917</v>
      </c>
      <c r="P51" s="32" t="s">
        <v>915</v>
      </c>
      <c r="Q51" s="31">
        <f>2020</f>
        <v>2020</v>
      </c>
      <c r="R51" s="32" t="s">
        <v>934</v>
      </c>
      <c r="S51" s="33">
        <f>1999.21</f>
        <v>1999.21</v>
      </c>
      <c r="T51" s="30">
        <f>924900</f>
        <v>924900</v>
      </c>
      <c r="U51" s="30">
        <f>130460</f>
        <v>130460</v>
      </c>
      <c r="V51" s="30">
        <f>1895543408</f>
        <v>1895543408</v>
      </c>
      <c r="W51" s="30">
        <f>267942948</f>
        <v>267942948</v>
      </c>
      <c r="X51" s="34">
        <f>21</f>
        <v>21</v>
      </c>
    </row>
    <row r="52" spans="1:24" x14ac:dyDescent="0.15">
      <c r="A52" s="25" t="s">
        <v>979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1607.5</f>
        <v>1607.5</v>
      </c>
      <c r="L52" s="32" t="s">
        <v>909</v>
      </c>
      <c r="M52" s="31">
        <f>1655</f>
        <v>1655</v>
      </c>
      <c r="N52" s="32" t="s">
        <v>911</v>
      </c>
      <c r="O52" s="31">
        <f>1563</f>
        <v>1563</v>
      </c>
      <c r="P52" s="32" t="s">
        <v>87</v>
      </c>
      <c r="Q52" s="31">
        <f>1623.5</f>
        <v>1623.5</v>
      </c>
      <c r="R52" s="32" t="s">
        <v>934</v>
      </c>
      <c r="S52" s="33">
        <f>1611.28</f>
        <v>1611.28</v>
      </c>
      <c r="T52" s="30">
        <f>3740</f>
        <v>3740</v>
      </c>
      <c r="U52" s="30" t="str">
        <f>"－"</f>
        <v>－</v>
      </c>
      <c r="V52" s="30">
        <f>6018185</f>
        <v>6018185</v>
      </c>
      <c r="W52" s="30" t="str">
        <f>"－"</f>
        <v>－</v>
      </c>
      <c r="X52" s="34">
        <f>20</f>
        <v>20</v>
      </c>
    </row>
    <row r="53" spans="1:24" x14ac:dyDescent="0.15">
      <c r="A53" s="25" t="s">
        <v>979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4295</f>
        <v>4295</v>
      </c>
      <c r="L53" s="32" t="s">
        <v>904</v>
      </c>
      <c r="M53" s="31">
        <f>4575</f>
        <v>4575</v>
      </c>
      <c r="N53" s="32" t="s">
        <v>87</v>
      </c>
      <c r="O53" s="31">
        <f>4125</f>
        <v>4125</v>
      </c>
      <c r="P53" s="32" t="s">
        <v>911</v>
      </c>
      <c r="Q53" s="31">
        <f>4425</f>
        <v>4425</v>
      </c>
      <c r="R53" s="32" t="s">
        <v>934</v>
      </c>
      <c r="S53" s="33">
        <f>4338.64</f>
        <v>4338.6400000000003</v>
      </c>
      <c r="T53" s="30">
        <f>738065</f>
        <v>738065</v>
      </c>
      <c r="U53" s="30">
        <f>139000</f>
        <v>139000</v>
      </c>
      <c r="V53" s="30">
        <f>3231250350</f>
        <v>3231250350</v>
      </c>
      <c r="W53" s="30">
        <f>584527440</f>
        <v>584527440</v>
      </c>
      <c r="X53" s="34">
        <f>22</f>
        <v>22</v>
      </c>
    </row>
    <row r="54" spans="1:24" x14ac:dyDescent="0.15">
      <c r="A54" s="25" t="s">
        <v>979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5080</f>
        <v>5080</v>
      </c>
      <c r="L54" s="32" t="s">
        <v>904</v>
      </c>
      <c r="M54" s="31">
        <f>5360</f>
        <v>5360</v>
      </c>
      <c r="N54" s="32" t="s">
        <v>87</v>
      </c>
      <c r="O54" s="31">
        <f>4905</f>
        <v>4905</v>
      </c>
      <c r="P54" s="32" t="s">
        <v>911</v>
      </c>
      <c r="Q54" s="31">
        <f>5140</f>
        <v>5140</v>
      </c>
      <c r="R54" s="32" t="s">
        <v>934</v>
      </c>
      <c r="S54" s="33">
        <f>5116.36</f>
        <v>5116.3599999999997</v>
      </c>
      <c r="T54" s="30">
        <f>1315074</f>
        <v>1315074</v>
      </c>
      <c r="U54" s="30">
        <f>1200042</f>
        <v>1200042</v>
      </c>
      <c r="V54" s="30">
        <f>6832984785</f>
        <v>6832984785</v>
      </c>
      <c r="W54" s="30">
        <f>6229450480</f>
        <v>6229450480</v>
      </c>
      <c r="X54" s="34">
        <f>22</f>
        <v>22</v>
      </c>
    </row>
    <row r="55" spans="1:24" x14ac:dyDescent="0.15">
      <c r="A55" s="25" t="s">
        <v>979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16445</f>
        <v>16445</v>
      </c>
      <c r="L55" s="32" t="s">
        <v>904</v>
      </c>
      <c r="M55" s="31">
        <f>17780</f>
        <v>17780</v>
      </c>
      <c r="N55" s="32" t="s">
        <v>911</v>
      </c>
      <c r="O55" s="31">
        <f>14305</f>
        <v>14305</v>
      </c>
      <c r="P55" s="32" t="s">
        <v>87</v>
      </c>
      <c r="Q55" s="31">
        <f>15310</f>
        <v>15310</v>
      </c>
      <c r="R55" s="32" t="s">
        <v>934</v>
      </c>
      <c r="S55" s="33">
        <f>16014.32</f>
        <v>16014.32</v>
      </c>
      <c r="T55" s="30">
        <f>23135364</f>
        <v>23135364</v>
      </c>
      <c r="U55" s="30">
        <f>14</f>
        <v>14</v>
      </c>
      <c r="V55" s="30">
        <f>367883634405</f>
        <v>367883634405</v>
      </c>
      <c r="W55" s="30">
        <f>231650</f>
        <v>231650</v>
      </c>
      <c r="X55" s="34">
        <f>22</f>
        <v>22</v>
      </c>
    </row>
    <row r="56" spans="1:24" x14ac:dyDescent="0.15">
      <c r="A56" s="25" t="s">
        <v>979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1569</f>
        <v>1569</v>
      </c>
      <c r="L56" s="32" t="s">
        <v>904</v>
      </c>
      <c r="M56" s="31">
        <f>1781</f>
        <v>1781</v>
      </c>
      <c r="N56" s="32" t="s">
        <v>87</v>
      </c>
      <c r="O56" s="31">
        <f>1448</f>
        <v>1448</v>
      </c>
      <c r="P56" s="32" t="s">
        <v>911</v>
      </c>
      <c r="Q56" s="31">
        <f>1658</f>
        <v>1658</v>
      </c>
      <c r="R56" s="32" t="s">
        <v>934</v>
      </c>
      <c r="S56" s="33">
        <f>1602.41</f>
        <v>1602.41</v>
      </c>
      <c r="T56" s="30">
        <f>234513843</f>
        <v>234513843</v>
      </c>
      <c r="U56" s="30">
        <f>500564</f>
        <v>500564</v>
      </c>
      <c r="V56" s="30">
        <f>381892513546</f>
        <v>381892513546</v>
      </c>
      <c r="W56" s="30">
        <f>768744275</f>
        <v>768744275</v>
      </c>
      <c r="X56" s="34">
        <f>22</f>
        <v>22</v>
      </c>
    </row>
    <row r="57" spans="1:24" x14ac:dyDescent="0.15">
      <c r="A57" s="25" t="s">
        <v>979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14465</f>
        <v>14465</v>
      </c>
      <c r="L57" s="32" t="s">
        <v>904</v>
      </c>
      <c r="M57" s="31">
        <f>15345</f>
        <v>15345</v>
      </c>
      <c r="N57" s="32" t="s">
        <v>911</v>
      </c>
      <c r="O57" s="31">
        <f>12750</f>
        <v>12750</v>
      </c>
      <c r="P57" s="32" t="s">
        <v>87</v>
      </c>
      <c r="Q57" s="31">
        <f>13675</f>
        <v>13675</v>
      </c>
      <c r="R57" s="32" t="s">
        <v>934</v>
      </c>
      <c r="S57" s="33">
        <f>14068.18</f>
        <v>14068.18</v>
      </c>
      <c r="T57" s="30">
        <f>4654</f>
        <v>4654</v>
      </c>
      <c r="U57" s="30" t="str">
        <f>"－"</f>
        <v>－</v>
      </c>
      <c r="V57" s="30">
        <f>64366270</f>
        <v>64366270</v>
      </c>
      <c r="W57" s="30" t="str">
        <f>"－"</f>
        <v>－</v>
      </c>
      <c r="X57" s="34">
        <f>22</f>
        <v>22</v>
      </c>
    </row>
    <row r="58" spans="1:24" x14ac:dyDescent="0.15">
      <c r="A58" s="25" t="s">
        <v>979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4900</f>
        <v>4900</v>
      </c>
      <c r="L58" s="32" t="s">
        <v>904</v>
      </c>
      <c r="M58" s="31">
        <f>5160</f>
        <v>5160</v>
      </c>
      <c r="N58" s="32" t="s">
        <v>87</v>
      </c>
      <c r="O58" s="31">
        <f>4790</f>
        <v>4790</v>
      </c>
      <c r="P58" s="32" t="s">
        <v>905</v>
      </c>
      <c r="Q58" s="31">
        <f>4985</f>
        <v>4985</v>
      </c>
      <c r="R58" s="32" t="s">
        <v>934</v>
      </c>
      <c r="S58" s="33">
        <f>4963.89</f>
        <v>4963.8900000000003</v>
      </c>
      <c r="T58" s="30">
        <f>1221</f>
        <v>1221</v>
      </c>
      <c r="U58" s="30" t="str">
        <f>"－"</f>
        <v>－</v>
      </c>
      <c r="V58" s="30">
        <f>6116175</f>
        <v>6116175</v>
      </c>
      <c r="W58" s="30" t="str">
        <f>"－"</f>
        <v>－</v>
      </c>
      <c r="X58" s="34">
        <f>18</f>
        <v>18</v>
      </c>
    </row>
    <row r="59" spans="1:24" x14ac:dyDescent="0.15">
      <c r="A59" s="25" t="s">
        <v>979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1915</f>
        <v>1915</v>
      </c>
      <c r="L59" s="32" t="s">
        <v>904</v>
      </c>
      <c r="M59" s="31">
        <f>2130</f>
        <v>2130</v>
      </c>
      <c r="N59" s="32" t="s">
        <v>87</v>
      </c>
      <c r="O59" s="31">
        <f>1783</f>
        <v>1783</v>
      </c>
      <c r="P59" s="32" t="s">
        <v>911</v>
      </c>
      <c r="Q59" s="31">
        <f>1958</f>
        <v>1958</v>
      </c>
      <c r="R59" s="32" t="s">
        <v>934</v>
      </c>
      <c r="S59" s="33">
        <f>1946.91</f>
        <v>1946.91</v>
      </c>
      <c r="T59" s="30">
        <f>41842</f>
        <v>41842</v>
      </c>
      <c r="U59" s="30" t="str">
        <f>"－"</f>
        <v>－</v>
      </c>
      <c r="V59" s="30">
        <f>81979400</f>
        <v>81979400</v>
      </c>
      <c r="W59" s="30" t="str">
        <f>"－"</f>
        <v>－</v>
      </c>
      <c r="X59" s="34">
        <f>22</f>
        <v>22</v>
      </c>
    </row>
    <row r="60" spans="1:24" x14ac:dyDescent="0.15">
      <c r="A60" s="25" t="s">
        <v>979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13565</f>
        <v>13565</v>
      </c>
      <c r="L60" s="32" t="s">
        <v>904</v>
      </c>
      <c r="M60" s="31">
        <f>14500</f>
        <v>14500</v>
      </c>
      <c r="N60" s="32" t="s">
        <v>911</v>
      </c>
      <c r="O60" s="31">
        <f>12200</f>
        <v>12200</v>
      </c>
      <c r="P60" s="32" t="s">
        <v>87</v>
      </c>
      <c r="Q60" s="31">
        <f>13130</f>
        <v>13130</v>
      </c>
      <c r="R60" s="32" t="s">
        <v>934</v>
      </c>
      <c r="S60" s="33">
        <f>13216.76</f>
        <v>13216.76</v>
      </c>
      <c r="T60" s="30">
        <f>5530</f>
        <v>5530</v>
      </c>
      <c r="U60" s="30">
        <f>10</f>
        <v>10</v>
      </c>
      <c r="V60" s="30">
        <f>73254000</f>
        <v>73254000</v>
      </c>
      <c r="W60" s="30">
        <f>145000</f>
        <v>145000</v>
      </c>
      <c r="X60" s="34">
        <f>17</f>
        <v>17</v>
      </c>
    </row>
    <row r="61" spans="1:24" x14ac:dyDescent="0.15">
      <c r="A61" s="25" t="s">
        <v>979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4600</f>
        <v>4600</v>
      </c>
      <c r="L61" s="32" t="s">
        <v>904</v>
      </c>
      <c r="M61" s="31">
        <f>4814</f>
        <v>4814</v>
      </c>
      <c r="N61" s="32" t="s">
        <v>819</v>
      </c>
      <c r="O61" s="31">
        <f>4396</f>
        <v>4396</v>
      </c>
      <c r="P61" s="32" t="s">
        <v>912</v>
      </c>
      <c r="Q61" s="31">
        <f>4524</f>
        <v>4524</v>
      </c>
      <c r="R61" s="32" t="s">
        <v>934</v>
      </c>
      <c r="S61" s="33">
        <f>4544</f>
        <v>4544</v>
      </c>
      <c r="T61" s="30">
        <f>4420</f>
        <v>4420</v>
      </c>
      <c r="U61" s="30" t="str">
        <f>"－"</f>
        <v>－</v>
      </c>
      <c r="V61" s="30">
        <f>20282380</f>
        <v>20282380</v>
      </c>
      <c r="W61" s="30" t="str">
        <f>"－"</f>
        <v>－</v>
      </c>
      <c r="X61" s="34">
        <f>13</f>
        <v>13</v>
      </c>
    </row>
    <row r="62" spans="1:24" x14ac:dyDescent="0.15">
      <c r="A62" s="25" t="s">
        <v>979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1895</f>
        <v>1895</v>
      </c>
      <c r="L62" s="32" t="s">
        <v>904</v>
      </c>
      <c r="M62" s="31">
        <f>2110</f>
        <v>2110</v>
      </c>
      <c r="N62" s="32" t="s">
        <v>87</v>
      </c>
      <c r="O62" s="31">
        <f>1760</f>
        <v>1760</v>
      </c>
      <c r="P62" s="32" t="s">
        <v>911</v>
      </c>
      <c r="Q62" s="31">
        <f>1945.5</f>
        <v>1945.5</v>
      </c>
      <c r="R62" s="32" t="s">
        <v>934</v>
      </c>
      <c r="S62" s="33">
        <f>1921.3</f>
        <v>1921.3</v>
      </c>
      <c r="T62" s="30">
        <f>70680</f>
        <v>70680</v>
      </c>
      <c r="U62" s="30" t="str">
        <f>"－"</f>
        <v>－</v>
      </c>
      <c r="V62" s="30">
        <f>136442970</f>
        <v>136442970</v>
      </c>
      <c r="W62" s="30" t="str">
        <f>"－"</f>
        <v>－</v>
      </c>
      <c r="X62" s="34">
        <f>22</f>
        <v>22</v>
      </c>
    </row>
    <row r="63" spans="1:24" x14ac:dyDescent="0.15">
      <c r="A63" s="25" t="s">
        <v>979</v>
      </c>
      <c r="B63" s="25" t="s">
        <v>221</v>
      </c>
      <c r="C63" s="25" t="s">
        <v>222</v>
      </c>
      <c r="D63" s="25" t="s">
        <v>223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766</f>
        <v>766</v>
      </c>
      <c r="L63" s="32" t="s">
        <v>904</v>
      </c>
      <c r="M63" s="31">
        <f>855</f>
        <v>855</v>
      </c>
      <c r="N63" s="32" t="s">
        <v>87</v>
      </c>
      <c r="O63" s="31">
        <f>718</f>
        <v>718</v>
      </c>
      <c r="P63" s="32" t="s">
        <v>911</v>
      </c>
      <c r="Q63" s="31">
        <f>787</f>
        <v>787</v>
      </c>
      <c r="R63" s="32" t="s">
        <v>934</v>
      </c>
      <c r="S63" s="33">
        <f>779.64</f>
        <v>779.64</v>
      </c>
      <c r="T63" s="30">
        <f>95932</f>
        <v>95932</v>
      </c>
      <c r="U63" s="30" t="str">
        <f>"－"</f>
        <v>－</v>
      </c>
      <c r="V63" s="30">
        <f>74869832</f>
        <v>74869832</v>
      </c>
      <c r="W63" s="30" t="str">
        <f>"－"</f>
        <v>－</v>
      </c>
      <c r="X63" s="34">
        <f>22</f>
        <v>22</v>
      </c>
    </row>
    <row r="64" spans="1:24" x14ac:dyDescent="0.15">
      <c r="A64" s="25" t="s">
        <v>979</v>
      </c>
      <c r="B64" s="25" t="s">
        <v>224</v>
      </c>
      <c r="C64" s="25" t="s">
        <v>225</v>
      </c>
      <c r="D64" s="25" t="s">
        <v>226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1963.5</f>
        <v>1963.5</v>
      </c>
      <c r="L64" s="32" t="s">
        <v>904</v>
      </c>
      <c r="M64" s="31">
        <f>2024</f>
        <v>2024</v>
      </c>
      <c r="N64" s="32" t="s">
        <v>911</v>
      </c>
      <c r="O64" s="31">
        <f>1853.5</f>
        <v>1853.5</v>
      </c>
      <c r="P64" s="32" t="s">
        <v>87</v>
      </c>
      <c r="Q64" s="31">
        <f>1920</f>
        <v>1920</v>
      </c>
      <c r="R64" s="32" t="s">
        <v>934</v>
      </c>
      <c r="S64" s="33">
        <f>1942.11</f>
        <v>1942.11</v>
      </c>
      <c r="T64" s="30">
        <f>3302490</f>
        <v>3302490</v>
      </c>
      <c r="U64" s="30">
        <f>1548670</f>
        <v>1548670</v>
      </c>
      <c r="V64" s="30">
        <f>6517039286</f>
        <v>6517039286</v>
      </c>
      <c r="W64" s="30">
        <f>3044203336</f>
        <v>3044203336</v>
      </c>
      <c r="X64" s="34">
        <f>22</f>
        <v>22</v>
      </c>
    </row>
    <row r="65" spans="1:24" x14ac:dyDescent="0.15">
      <c r="A65" s="25" t="s">
        <v>979</v>
      </c>
      <c r="B65" s="25" t="s">
        <v>227</v>
      </c>
      <c r="C65" s="25" t="s">
        <v>228</v>
      </c>
      <c r="D65" s="25" t="s">
        <v>229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17745</f>
        <v>17745</v>
      </c>
      <c r="L65" s="32" t="s">
        <v>904</v>
      </c>
      <c r="M65" s="31">
        <f>18150</f>
        <v>18150</v>
      </c>
      <c r="N65" s="32" t="s">
        <v>911</v>
      </c>
      <c r="O65" s="31">
        <f>16550</f>
        <v>16550</v>
      </c>
      <c r="P65" s="32" t="s">
        <v>87</v>
      </c>
      <c r="Q65" s="31">
        <f>17145</f>
        <v>17145</v>
      </c>
      <c r="R65" s="32" t="s">
        <v>934</v>
      </c>
      <c r="S65" s="33">
        <f>17375.45</f>
        <v>17375.45</v>
      </c>
      <c r="T65" s="30">
        <f>16785</f>
        <v>16785</v>
      </c>
      <c r="U65" s="30">
        <f>5000</f>
        <v>5000</v>
      </c>
      <c r="V65" s="30">
        <f>285453930</f>
        <v>285453930</v>
      </c>
      <c r="W65" s="30">
        <f>85060000</f>
        <v>85060000</v>
      </c>
      <c r="X65" s="34">
        <f>22</f>
        <v>22</v>
      </c>
    </row>
    <row r="66" spans="1:24" x14ac:dyDescent="0.15">
      <c r="A66" s="25" t="s">
        <v>979</v>
      </c>
      <c r="B66" s="25" t="s">
        <v>230</v>
      </c>
      <c r="C66" s="25" t="s">
        <v>231</v>
      </c>
      <c r="D66" s="25" t="s">
        <v>232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1975</f>
        <v>1975</v>
      </c>
      <c r="L66" s="32" t="s">
        <v>904</v>
      </c>
      <c r="M66" s="31">
        <f>2038</f>
        <v>2038</v>
      </c>
      <c r="N66" s="32" t="s">
        <v>911</v>
      </c>
      <c r="O66" s="31">
        <f>1864</f>
        <v>1864</v>
      </c>
      <c r="P66" s="32" t="s">
        <v>87</v>
      </c>
      <c r="Q66" s="31">
        <f>1930</f>
        <v>1930</v>
      </c>
      <c r="R66" s="32" t="s">
        <v>934</v>
      </c>
      <c r="S66" s="33">
        <f>1954.23</f>
        <v>1954.23</v>
      </c>
      <c r="T66" s="30">
        <f>7274134</f>
        <v>7274134</v>
      </c>
      <c r="U66" s="30">
        <f>491693</f>
        <v>491693</v>
      </c>
      <c r="V66" s="30">
        <f>14286780562</f>
        <v>14286780562</v>
      </c>
      <c r="W66" s="30">
        <f>971530681</f>
        <v>971530681</v>
      </c>
      <c r="X66" s="34">
        <f>22</f>
        <v>22</v>
      </c>
    </row>
    <row r="67" spans="1:24" x14ac:dyDescent="0.15">
      <c r="A67" s="25" t="s">
        <v>979</v>
      </c>
      <c r="B67" s="25" t="s">
        <v>233</v>
      </c>
      <c r="C67" s="25" t="s">
        <v>234</v>
      </c>
      <c r="D67" s="25" t="s">
        <v>235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2065</f>
        <v>2065</v>
      </c>
      <c r="L67" s="32" t="s">
        <v>904</v>
      </c>
      <c r="M67" s="31">
        <f>2195</f>
        <v>2195</v>
      </c>
      <c r="N67" s="32" t="s">
        <v>904</v>
      </c>
      <c r="O67" s="31">
        <f>1931</f>
        <v>1931</v>
      </c>
      <c r="P67" s="32" t="s">
        <v>915</v>
      </c>
      <c r="Q67" s="31">
        <f>2027</f>
        <v>2027</v>
      </c>
      <c r="R67" s="32" t="s">
        <v>934</v>
      </c>
      <c r="S67" s="33">
        <f>2017.45</f>
        <v>2017.45</v>
      </c>
      <c r="T67" s="30">
        <f>8107592</f>
        <v>8107592</v>
      </c>
      <c r="U67" s="30">
        <f>2520376</f>
        <v>2520376</v>
      </c>
      <c r="V67" s="30">
        <f>16437415766</f>
        <v>16437415766</v>
      </c>
      <c r="W67" s="30">
        <f>5099477350</f>
        <v>5099477350</v>
      </c>
      <c r="X67" s="34">
        <f>22</f>
        <v>22</v>
      </c>
    </row>
    <row r="68" spans="1:24" x14ac:dyDescent="0.15">
      <c r="A68" s="25" t="s">
        <v>979</v>
      </c>
      <c r="B68" s="25" t="s">
        <v>236</v>
      </c>
      <c r="C68" s="25" t="s">
        <v>237</v>
      </c>
      <c r="D68" s="25" t="s">
        <v>238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1844</f>
        <v>1844</v>
      </c>
      <c r="L68" s="32" t="s">
        <v>904</v>
      </c>
      <c r="M68" s="31">
        <f>1894</f>
        <v>1894</v>
      </c>
      <c r="N68" s="32" t="s">
        <v>911</v>
      </c>
      <c r="O68" s="31">
        <f>1774</f>
        <v>1774</v>
      </c>
      <c r="P68" s="32" t="s">
        <v>819</v>
      </c>
      <c r="Q68" s="31">
        <f>1850</f>
        <v>1850</v>
      </c>
      <c r="R68" s="32" t="s">
        <v>934</v>
      </c>
      <c r="S68" s="33">
        <f>1841.68</f>
        <v>1841.68</v>
      </c>
      <c r="T68" s="30">
        <f>14309</f>
        <v>14309</v>
      </c>
      <c r="U68" s="30">
        <f>12536</f>
        <v>12536</v>
      </c>
      <c r="V68" s="30">
        <f>26470605</f>
        <v>26470605</v>
      </c>
      <c r="W68" s="30">
        <f>23209821</f>
        <v>23209821</v>
      </c>
      <c r="X68" s="34">
        <f>22</f>
        <v>22</v>
      </c>
    </row>
    <row r="69" spans="1:24" x14ac:dyDescent="0.15">
      <c r="A69" s="25" t="s">
        <v>979</v>
      </c>
      <c r="B69" s="25" t="s">
        <v>239</v>
      </c>
      <c r="C69" s="25" t="s">
        <v>240</v>
      </c>
      <c r="D69" s="25" t="s">
        <v>241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2396</f>
        <v>2396</v>
      </c>
      <c r="L69" s="32" t="s">
        <v>904</v>
      </c>
      <c r="M69" s="31">
        <f>2462</f>
        <v>2462</v>
      </c>
      <c r="N69" s="32" t="s">
        <v>911</v>
      </c>
      <c r="O69" s="31">
        <f>2316</f>
        <v>2316</v>
      </c>
      <c r="P69" s="32" t="s">
        <v>87</v>
      </c>
      <c r="Q69" s="31">
        <f>2371</f>
        <v>2371</v>
      </c>
      <c r="R69" s="32" t="s">
        <v>934</v>
      </c>
      <c r="S69" s="33">
        <f>2392.32</f>
        <v>2392.3200000000002</v>
      </c>
      <c r="T69" s="30">
        <f>291307</f>
        <v>291307</v>
      </c>
      <c r="U69" s="30">
        <f>20816</f>
        <v>20816</v>
      </c>
      <c r="V69" s="30">
        <f>698776979</f>
        <v>698776979</v>
      </c>
      <c r="W69" s="30">
        <f>50025149</f>
        <v>50025149</v>
      </c>
      <c r="X69" s="34">
        <f>22</f>
        <v>22</v>
      </c>
    </row>
    <row r="70" spans="1:24" x14ac:dyDescent="0.15">
      <c r="A70" s="25" t="s">
        <v>979</v>
      </c>
      <c r="B70" s="25" t="s">
        <v>242</v>
      </c>
      <c r="C70" s="25" t="s">
        <v>243</v>
      </c>
      <c r="D70" s="25" t="s">
        <v>244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24170</f>
        <v>24170</v>
      </c>
      <c r="L70" s="32" t="s">
        <v>904</v>
      </c>
      <c r="M70" s="31">
        <f>24535</f>
        <v>24535</v>
      </c>
      <c r="N70" s="32" t="s">
        <v>70</v>
      </c>
      <c r="O70" s="31">
        <f>23860</f>
        <v>23860</v>
      </c>
      <c r="P70" s="32" t="s">
        <v>94</v>
      </c>
      <c r="Q70" s="31">
        <f>23860</f>
        <v>23860</v>
      </c>
      <c r="R70" s="32" t="s">
        <v>94</v>
      </c>
      <c r="S70" s="33">
        <f>24221.25</f>
        <v>24221.25</v>
      </c>
      <c r="T70" s="30">
        <f>20</f>
        <v>20</v>
      </c>
      <c r="U70" s="30" t="str">
        <f>"－"</f>
        <v>－</v>
      </c>
      <c r="V70" s="30">
        <f>484055</f>
        <v>484055</v>
      </c>
      <c r="W70" s="30" t="str">
        <f>"－"</f>
        <v>－</v>
      </c>
      <c r="X70" s="34">
        <f>4</f>
        <v>4</v>
      </c>
    </row>
    <row r="71" spans="1:24" x14ac:dyDescent="0.15">
      <c r="A71" s="25" t="s">
        <v>979</v>
      </c>
      <c r="B71" s="25" t="s">
        <v>245</v>
      </c>
      <c r="C71" s="25" t="s">
        <v>246</v>
      </c>
      <c r="D71" s="25" t="s">
        <v>247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19495</f>
        <v>19495</v>
      </c>
      <c r="L71" s="32" t="s">
        <v>909</v>
      </c>
      <c r="M71" s="31">
        <f>19600</f>
        <v>19600</v>
      </c>
      <c r="N71" s="32" t="s">
        <v>70</v>
      </c>
      <c r="O71" s="31">
        <f>18395</f>
        <v>18395</v>
      </c>
      <c r="P71" s="32" t="s">
        <v>66</v>
      </c>
      <c r="Q71" s="31">
        <f>18985</f>
        <v>18985</v>
      </c>
      <c r="R71" s="32" t="s">
        <v>94</v>
      </c>
      <c r="S71" s="33">
        <f>19145.63</f>
        <v>19145.63</v>
      </c>
      <c r="T71" s="30">
        <f>16</f>
        <v>16</v>
      </c>
      <c r="U71" s="30" t="str">
        <f>"－"</f>
        <v>－</v>
      </c>
      <c r="V71" s="30">
        <f>305790</f>
        <v>305790</v>
      </c>
      <c r="W71" s="30" t="str">
        <f>"－"</f>
        <v>－</v>
      </c>
      <c r="X71" s="34">
        <f>8</f>
        <v>8</v>
      </c>
    </row>
    <row r="72" spans="1:24" x14ac:dyDescent="0.15">
      <c r="A72" s="25" t="s">
        <v>979</v>
      </c>
      <c r="B72" s="25" t="s">
        <v>248</v>
      </c>
      <c r="C72" s="25" t="s">
        <v>249</v>
      </c>
      <c r="D72" s="25" t="s">
        <v>250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2000</f>
        <v>2000</v>
      </c>
      <c r="L72" s="32" t="s">
        <v>904</v>
      </c>
      <c r="M72" s="31">
        <f>2048</f>
        <v>2048</v>
      </c>
      <c r="N72" s="32" t="s">
        <v>911</v>
      </c>
      <c r="O72" s="31">
        <f>1888</f>
        <v>1888</v>
      </c>
      <c r="P72" s="32" t="s">
        <v>87</v>
      </c>
      <c r="Q72" s="31">
        <f>1975</f>
        <v>1975</v>
      </c>
      <c r="R72" s="32" t="s">
        <v>934</v>
      </c>
      <c r="S72" s="33">
        <f>1970.23</f>
        <v>1970.23</v>
      </c>
      <c r="T72" s="30">
        <f>616</f>
        <v>616</v>
      </c>
      <c r="U72" s="30" t="str">
        <f>"－"</f>
        <v>－</v>
      </c>
      <c r="V72" s="30">
        <f>1218862</f>
        <v>1218862</v>
      </c>
      <c r="W72" s="30" t="str">
        <f>"－"</f>
        <v>－</v>
      </c>
      <c r="X72" s="34">
        <f>22</f>
        <v>22</v>
      </c>
    </row>
    <row r="73" spans="1:24" x14ac:dyDescent="0.15">
      <c r="A73" s="25" t="s">
        <v>979</v>
      </c>
      <c r="B73" s="25" t="s">
        <v>251</v>
      </c>
      <c r="C73" s="25" t="s">
        <v>252</v>
      </c>
      <c r="D73" s="25" t="s">
        <v>253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2075</f>
        <v>2075</v>
      </c>
      <c r="L73" s="32" t="s">
        <v>904</v>
      </c>
      <c r="M73" s="31">
        <f>2079</f>
        <v>2079</v>
      </c>
      <c r="N73" s="32" t="s">
        <v>904</v>
      </c>
      <c r="O73" s="31">
        <f>1973</f>
        <v>1973</v>
      </c>
      <c r="P73" s="32" t="s">
        <v>915</v>
      </c>
      <c r="Q73" s="31">
        <f>2040</f>
        <v>2040</v>
      </c>
      <c r="R73" s="32" t="s">
        <v>934</v>
      </c>
      <c r="S73" s="33">
        <f>2032.14</f>
        <v>2032.14</v>
      </c>
      <c r="T73" s="30">
        <f>7426789</f>
        <v>7426789</v>
      </c>
      <c r="U73" s="30">
        <f>5568928</f>
        <v>5568928</v>
      </c>
      <c r="V73" s="30">
        <f>15015069750</f>
        <v>15015069750</v>
      </c>
      <c r="W73" s="30">
        <f>11242654714</f>
        <v>11242654714</v>
      </c>
      <c r="X73" s="34">
        <f>22</f>
        <v>22</v>
      </c>
    </row>
    <row r="74" spans="1:24" x14ac:dyDescent="0.15">
      <c r="A74" s="25" t="s">
        <v>979</v>
      </c>
      <c r="B74" s="25" t="s">
        <v>254</v>
      </c>
      <c r="C74" s="25" t="s">
        <v>255</v>
      </c>
      <c r="D74" s="25" t="s">
        <v>256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2036</f>
        <v>2036</v>
      </c>
      <c r="L74" s="32" t="s">
        <v>904</v>
      </c>
      <c r="M74" s="31">
        <f>2130</f>
        <v>2130</v>
      </c>
      <c r="N74" s="32" t="s">
        <v>936</v>
      </c>
      <c r="O74" s="31">
        <f>1984</f>
        <v>1984</v>
      </c>
      <c r="P74" s="32" t="s">
        <v>934</v>
      </c>
      <c r="Q74" s="31">
        <f>1991</f>
        <v>1991</v>
      </c>
      <c r="R74" s="32" t="s">
        <v>934</v>
      </c>
      <c r="S74" s="33">
        <f>2071.57</f>
        <v>2071.5700000000002</v>
      </c>
      <c r="T74" s="30">
        <f>1804</f>
        <v>1804</v>
      </c>
      <c r="U74" s="30" t="str">
        <f>"－"</f>
        <v>－</v>
      </c>
      <c r="V74" s="30">
        <f>3708900</f>
        <v>3708900</v>
      </c>
      <c r="W74" s="30" t="str">
        <f>"－"</f>
        <v>－</v>
      </c>
      <c r="X74" s="34">
        <f>21</f>
        <v>21</v>
      </c>
    </row>
    <row r="75" spans="1:24" x14ac:dyDescent="0.15">
      <c r="A75" s="25" t="s">
        <v>979</v>
      </c>
      <c r="B75" s="25" t="s">
        <v>257</v>
      </c>
      <c r="C75" s="25" t="s">
        <v>258</v>
      </c>
      <c r="D75" s="25" t="s">
        <v>259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10</v>
      </c>
      <c r="K75" s="31">
        <f>1965.5</f>
        <v>1965.5</v>
      </c>
      <c r="L75" s="32" t="s">
        <v>904</v>
      </c>
      <c r="M75" s="31">
        <f>2025</f>
        <v>2025</v>
      </c>
      <c r="N75" s="32" t="s">
        <v>911</v>
      </c>
      <c r="O75" s="31">
        <f>1859</f>
        <v>1859</v>
      </c>
      <c r="P75" s="32" t="s">
        <v>87</v>
      </c>
      <c r="Q75" s="31">
        <f>1937</f>
        <v>1937</v>
      </c>
      <c r="R75" s="32" t="s">
        <v>934</v>
      </c>
      <c r="S75" s="33">
        <f>1944.95</f>
        <v>1944.95</v>
      </c>
      <c r="T75" s="30">
        <f>33470</f>
        <v>33470</v>
      </c>
      <c r="U75" s="30" t="str">
        <f>"－"</f>
        <v>－</v>
      </c>
      <c r="V75" s="30">
        <f>65339450</f>
        <v>65339450</v>
      </c>
      <c r="W75" s="30" t="str">
        <f>"－"</f>
        <v>－</v>
      </c>
      <c r="X75" s="34">
        <f>22</f>
        <v>22</v>
      </c>
    </row>
    <row r="76" spans="1:24" x14ac:dyDescent="0.15">
      <c r="A76" s="25" t="s">
        <v>979</v>
      </c>
      <c r="B76" s="25" t="s">
        <v>260</v>
      </c>
      <c r="C76" s="25" t="s">
        <v>261</v>
      </c>
      <c r="D76" s="25" t="s">
        <v>262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28910</f>
        <v>28910</v>
      </c>
      <c r="L76" s="32" t="s">
        <v>70</v>
      </c>
      <c r="M76" s="31">
        <f>28910</f>
        <v>28910</v>
      </c>
      <c r="N76" s="32" t="s">
        <v>70</v>
      </c>
      <c r="O76" s="31">
        <f>28400</f>
        <v>28400</v>
      </c>
      <c r="P76" s="32" t="s">
        <v>906</v>
      </c>
      <c r="Q76" s="31">
        <f>28400</f>
        <v>28400</v>
      </c>
      <c r="R76" s="32" t="s">
        <v>906</v>
      </c>
      <c r="S76" s="33">
        <f>28573.33</f>
        <v>28573.33</v>
      </c>
      <c r="T76" s="30">
        <f>3</f>
        <v>3</v>
      </c>
      <c r="U76" s="30" t="str">
        <f>"－"</f>
        <v>－</v>
      </c>
      <c r="V76" s="30">
        <f>85720</f>
        <v>85720</v>
      </c>
      <c r="W76" s="30" t="str">
        <f>"－"</f>
        <v>－</v>
      </c>
      <c r="X76" s="34">
        <f>3</f>
        <v>3</v>
      </c>
    </row>
    <row r="77" spans="1:24" x14ac:dyDescent="0.15">
      <c r="A77" s="25" t="s">
        <v>979</v>
      </c>
      <c r="B77" s="25" t="s">
        <v>263</v>
      </c>
      <c r="C77" s="25" t="s">
        <v>264</v>
      </c>
      <c r="D77" s="25" t="s">
        <v>265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22185</f>
        <v>22185</v>
      </c>
      <c r="L77" s="32" t="s">
        <v>904</v>
      </c>
      <c r="M77" s="31">
        <f>23220</f>
        <v>23220</v>
      </c>
      <c r="N77" s="32" t="s">
        <v>934</v>
      </c>
      <c r="O77" s="31">
        <f>22135</f>
        <v>22135</v>
      </c>
      <c r="P77" s="32" t="s">
        <v>819</v>
      </c>
      <c r="Q77" s="31">
        <f>23120</f>
        <v>23120</v>
      </c>
      <c r="R77" s="32" t="s">
        <v>934</v>
      </c>
      <c r="S77" s="33">
        <f>22604.77</f>
        <v>22604.77</v>
      </c>
      <c r="T77" s="30">
        <f>186169</f>
        <v>186169</v>
      </c>
      <c r="U77" s="30">
        <f>107289</f>
        <v>107289</v>
      </c>
      <c r="V77" s="30">
        <f>4191064579</f>
        <v>4191064579</v>
      </c>
      <c r="W77" s="30">
        <f>2415400779</f>
        <v>2415400779</v>
      </c>
      <c r="X77" s="34">
        <f>22</f>
        <v>22</v>
      </c>
    </row>
    <row r="78" spans="1:24" x14ac:dyDescent="0.15">
      <c r="A78" s="25" t="s">
        <v>979</v>
      </c>
      <c r="B78" s="25" t="s">
        <v>267</v>
      </c>
      <c r="C78" s="25" t="s">
        <v>268</v>
      </c>
      <c r="D78" s="25" t="s">
        <v>269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16180</f>
        <v>16180</v>
      </c>
      <c r="L78" s="32" t="s">
        <v>904</v>
      </c>
      <c r="M78" s="31">
        <f>16180</f>
        <v>16180</v>
      </c>
      <c r="N78" s="32" t="s">
        <v>904</v>
      </c>
      <c r="O78" s="31">
        <f>15360</f>
        <v>15360</v>
      </c>
      <c r="P78" s="32" t="s">
        <v>915</v>
      </c>
      <c r="Q78" s="31">
        <f>15860</f>
        <v>15860</v>
      </c>
      <c r="R78" s="32" t="s">
        <v>934</v>
      </c>
      <c r="S78" s="33">
        <f>15821.59</f>
        <v>15821.59</v>
      </c>
      <c r="T78" s="30">
        <f>737922</f>
        <v>737922</v>
      </c>
      <c r="U78" s="30">
        <f>651370</f>
        <v>651370</v>
      </c>
      <c r="V78" s="30">
        <f>11756145043</f>
        <v>11756145043</v>
      </c>
      <c r="W78" s="30">
        <f>10395279328</f>
        <v>10395279328</v>
      </c>
      <c r="X78" s="34">
        <f>22</f>
        <v>22</v>
      </c>
    </row>
    <row r="79" spans="1:24" x14ac:dyDescent="0.15">
      <c r="A79" s="25" t="s">
        <v>979</v>
      </c>
      <c r="B79" s="25" t="s">
        <v>270</v>
      </c>
      <c r="C79" s="25" t="s">
        <v>271</v>
      </c>
      <c r="D79" s="25" t="s">
        <v>272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10</v>
      </c>
      <c r="K79" s="31">
        <f>2075</f>
        <v>2075</v>
      </c>
      <c r="L79" s="32" t="s">
        <v>904</v>
      </c>
      <c r="M79" s="31">
        <f>2089</f>
        <v>2089</v>
      </c>
      <c r="N79" s="32" t="s">
        <v>905</v>
      </c>
      <c r="O79" s="31">
        <f>1928</f>
        <v>1928</v>
      </c>
      <c r="P79" s="32" t="s">
        <v>915</v>
      </c>
      <c r="Q79" s="31">
        <f>2027.5</f>
        <v>2027.5</v>
      </c>
      <c r="R79" s="32" t="s">
        <v>934</v>
      </c>
      <c r="S79" s="33">
        <f>2015.75</f>
        <v>2015.75</v>
      </c>
      <c r="T79" s="30">
        <f>2562930</f>
        <v>2562930</v>
      </c>
      <c r="U79" s="30">
        <f>1373420</f>
        <v>1373420</v>
      </c>
      <c r="V79" s="30">
        <f>5141267762</f>
        <v>5141267762</v>
      </c>
      <c r="W79" s="30">
        <f>2763591137</f>
        <v>2763591137</v>
      </c>
      <c r="X79" s="34">
        <f>22</f>
        <v>22</v>
      </c>
    </row>
    <row r="80" spans="1:24" x14ac:dyDescent="0.15">
      <c r="A80" s="25" t="s">
        <v>979</v>
      </c>
      <c r="B80" s="25" t="s">
        <v>273</v>
      </c>
      <c r="C80" s="25" t="s">
        <v>274</v>
      </c>
      <c r="D80" s="25" t="s">
        <v>275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40950</f>
        <v>40950</v>
      </c>
      <c r="L80" s="32" t="s">
        <v>904</v>
      </c>
      <c r="M80" s="31">
        <f>42100</f>
        <v>42100</v>
      </c>
      <c r="N80" s="32" t="s">
        <v>911</v>
      </c>
      <c r="O80" s="31">
        <f>39680</f>
        <v>39680</v>
      </c>
      <c r="P80" s="32" t="s">
        <v>87</v>
      </c>
      <c r="Q80" s="31">
        <f>40450</f>
        <v>40450</v>
      </c>
      <c r="R80" s="32" t="s">
        <v>934</v>
      </c>
      <c r="S80" s="33">
        <f>40966.36</f>
        <v>40966.36</v>
      </c>
      <c r="T80" s="30">
        <f>127282</f>
        <v>127282</v>
      </c>
      <c r="U80" s="30">
        <f>10700</f>
        <v>10700</v>
      </c>
      <c r="V80" s="30">
        <f>5189627210</f>
        <v>5189627210</v>
      </c>
      <c r="W80" s="30">
        <f>431396300</f>
        <v>431396300</v>
      </c>
      <c r="X80" s="34">
        <f>22</f>
        <v>22</v>
      </c>
    </row>
    <row r="81" spans="1:24" x14ac:dyDescent="0.15">
      <c r="A81" s="25" t="s">
        <v>979</v>
      </c>
      <c r="B81" s="25" t="s">
        <v>276</v>
      </c>
      <c r="C81" s="25" t="s">
        <v>277</v>
      </c>
      <c r="D81" s="25" t="s">
        <v>278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7813</f>
        <v>7813</v>
      </c>
      <c r="L81" s="32" t="s">
        <v>266</v>
      </c>
      <c r="M81" s="31">
        <f>7869</f>
        <v>7869</v>
      </c>
      <c r="N81" s="32" t="s">
        <v>934</v>
      </c>
      <c r="O81" s="31">
        <f>7813</f>
        <v>7813</v>
      </c>
      <c r="P81" s="32" t="s">
        <v>266</v>
      </c>
      <c r="Q81" s="31">
        <f>7869</f>
        <v>7869</v>
      </c>
      <c r="R81" s="32" t="s">
        <v>934</v>
      </c>
      <c r="S81" s="33">
        <f>7843.67</f>
        <v>7843.67</v>
      </c>
      <c r="T81" s="30">
        <f>90</f>
        <v>90</v>
      </c>
      <c r="U81" s="30" t="str">
        <f>"－"</f>
        <v>－</v>
      </c>
      <c r="V81" s="30">
        <f>704810</f>
        <v>704810</v>
      </c>
      <c r="W81" s="30" t="str">
        <f>"－"</f>
        <v>－</v>
      </c>
      <c r="X81" s="34">
        <f>3</f>
        <v>3</v>
      </c>
    </row>
    <row r="82" spans="1:24" x14ac:dyDescent="0.15">
      <c r="A82" s="25" t="s">
        <v>979</v>
      </c>
      <c r="B82" s="25" t="s">
        <v>279</v>
      </c>
      <c r="C82" s="25" t="s">
        <v>280</v>
      </c>
      <c r="D82" s="25" t="s">
        <v>281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15300</f>
        <v>15300</v>
      </c>
      <c r="L82" s="32" t="s">
        <v>904</v>
      </c>
      <c r="M82" s="31">
        <f>15500</f>
        <v>15500</v>
      </c>
      <c r="N82" s="32" t="s">
        <v>912</v>
      </c>
      <c r="O82" s="31">
        <f>14320</f>
        <v>14320</v>
      </c>
      <c r="P82" s="32" t="s">
        <v>87</v>
      </c>
      <c r="Q82" s="31">
        <f>14850</f>
        <v>14850</v>
      </c>
      <c r="R82" s="32" t="s">
        <v>934</v>
      </c>
      <c r="S82" s="33">
        <f>14991.43</f>
        <v>14991.43</v>
      </c>
      <c r="T82" s="30">
        <f>502</f>
        <v>502</v>
      </c>
      <c r="U82" s="30" t="str">
        <f>"－"</f>
        <v>－</v>
      </c>
      <c r="V82" s="30">
        <f>7488180</f>
        <v>7488180</v>
      </c>
      <c r="W82" s="30" t="str">
        <f>"－"</f>
        <v>－</v>
      </c>
      <c r="X82" s="34">
        <f>21</f>
        <v>21</v>
      </c>
    </row>
    <row r="83" spans="1:24" x14ac:dyDescent="0.15">
      <c r="A83" s="25" t="s">
        <v>979</v>
      </c>
      <c r="B83" s="25" t="s">
        <v>282</v>
      </c>
      <c r="C83" s="25" t="s">
        <v>283</v>
      </c>
      <c r="D83" s="25" t="s">
        <v>284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15250</f>
        <v>15250</v>
      </c>
      <c r="L83" s="32" t="s">
        <v>904</v>
      </c>
      <c r="M83" s="31">
        <f>15500</f>
        <v>15500</v>
      </c>
      <c r="N83" s="32" t="s">
        <v>911</v>
      </c>
      <c r="O83" s="31">
        <f>14100</f>
        <v>14100</v>
      </c>
      <c r="P83" s="32" t="s">
        <v>87</v>
      </c>
      <c r="Q83" s="31">
        <f>14885</f>
        <v>14885</v>
      </c>
      <c r="R83" s="32" t="s">
        <v>934</v>
      </c>
      <c r="S83" s="33">
        <f>14884.77</f>
        <v>14884.77</v>
      </c>
      <c r="T83" s="30">
        <f>1417</f>
        <v>1417</v>
      </c>
      <c r="U83" s="30" t="str">
        <f>"－"</f>
        <v>－</v>
      </c>
      <c r="V83" s="30">
        <f>21036395</f>
        <v>21036395</v>
      </c>
      <c r="W83" s="30" t="str">
        <f>"－"</f>
        <v>－</v>
      </c>
      <c r="X83" s="34">
        <f>22</f>
        <v>22</v>
      </c>
    </row>
    <row r="84" spans="1:24" x14ac:dyDescent="0.15">
      <c r="A84" s="25" t="s">
        <v>979</v>
      </c>
      <c r="B84" s="25" t="s">
        <v>285</v>
      </c>
      <c r="C84" s="25" t="s">
        <v>286</v>
      </c>
      <c r="D84" s="25" t="s">
        <v>287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19480</f>
        <v>19480</v>
      </c>
      <c r="L84" s="32" t="s">
        <v>904</v>
      </c>
      <c r="M84" s="31">
        <f>20530</f>
        <v>20530</v>
      </c>
      <c r="N84" s="32" t="s">
        <v>936</v>
      </c>
      <c r="O84" s="31">
        <f>19255</f>
        <v>19255</v>
      </c>
      <c r="P84" s="32" t="s">
        <v>87</v>
      </c>
      <c r="Q84" s="31">
        <f>19980</f>
        <v>19980</v>
      </c>
      <c r="R84" s="32" t="s">
        <v>934</v>
      </c>
      <c r="S84" s="33">
        <f>19803.18</f>
        <v>19803.18</v>
      </c>
      <c r="T84" s="30">
        <f>7471</f>
        <v>7471</v>
      </c>
      <c r="U84" s="30" t="str">
        <f>"－"</f>
        <v>－</v>
      </c>
      <c r="V84" s="30">
        <f>147391860</f>
        <v>147391860</v>
      </c>
      <c r="W84" s="30" t="str">
        <f>"－"</f>
        <v>－</v>
      </c>
      <c r="X84" s="34">
        <f>22</f>
        <v>22</v>
      </c>
    </row>
    <row r="85" spans="1:24" x14ac:dyDescent="0.15">
      <c r="A85" s="25" t="s">
        <v>979</v>
      </c>
      <c r="B85" s="25" t="s">
        <v>288</v>
      </c>
      <c r="C85" s="25" t="s">
        <v>289</v>
      </c>
      <c r="D85" s="25" t="s">
        <v>290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11220</f>
        <v>11220</v>
      </c>
      <c r="L85" s="32" t="s">
        <v>904</v>
      </c>
      <c r="M85" s="31">
        <f>11745</f>
        <v>11745</v>
      </c>
      <c r="N85" s="32" t="s">
        <v>905</v>
      </c>
      <c r="O85" s="31">
        <f>11060</f>
        <v>11060</v>
      </c>
      <c r="P85" s="32" t="s">
        <v>909</v>
      </c>
      <c r="Q85" s="31">
        <f>11700</f>
        <v>11700</v>
      </c>
      <c r="R85" s="32" t="s">
        <v>934</v>
      </c>
      <c r="S85" s="33">
        <f>11446.14</f>
        <v>11446.14</v>
      </c>
      <c r="T85" s="30">
        <f>5590</f>
        <v>5590</v>
      </c>
      <c r="U85" s="30" t="str">
        <f>"－"</f>
        <v>－</v>
      </c>
      <c r="V85" s="30">
        <f>64180350</f>
        <v>64180350</v>
      </c>
      <c r="W85" s="30" t="str">
        <f>"－"</f>
        <v>－</v>
      </c>
      <c r="X85" s="34">
        <f>22</f>
        <v>22</v>
      </c>
    </row>
    <row r="86" spans="1:24" x14ac:dyDescent="0.15">
      <c r="A86" s="25" t="s">
        <v>979</v>
      </c>
      <c r="B86" s="25" t="s">
        <v>291</v>
      </c>
      <c r="C86" s="25" t="s">
        <v>292</v>
      </c>
      <c r="D86" s="25" t="s">
        <v>293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2196</f>
        <v>2196</v>
      </c>
      <c r="L86" s="32" t="s">
        <v>904</v>
      </c>
      <c r="M86" s="31">
        <f>2207</f>
        <v>2207</v>
      </c>
      <c r="N86" s="32" t="s">
        <v>904</v>
      </c>
      <c r="O86" s="31">
        <f>2059</f>
        <v>2059</v>
      </c>
      <c r="P86" s="32" t="s">
        <v>915</v>
      </c>
      <c r="Q86" s="31">
        <f>2094</f>
        <v>2094</v>
      </c>
      <c r="R86" s="32" t="s">
        <v>934</v>
      </c>
      <c r="S86" s="33">
        <f>2120.05</f>
        <v>2120.0500000000002</v>
      </c>
      <c r="T86" s="30">
        <f>301058</f>
        <v>301058</v>
      </c>
      <c r="U86" s="30">
        <f>46034</f>
        <v>46034</v>
      </c>
      <c r="V86" s="30">
        <f>639567992</f>
        <v>639567992</v>
      </c>
      <c r="W86" s="30">
        <f>99503239</f>
        <v>99503239</v>
      </c>
      <c r="X86" s="34">
        <f>22</f>
        <v>22</v>
      </c>
    </row>
    <row r="87" spans="1:24" x14ac:dyDescent="0.15">
      <c r="A87" s="25" t="s">
        <v>979</v>
      </c>
      <c r="B87" s="25" t="s">
        <v>294</v>
      </c>
      <c r="C87" s="25" t="s">
        <v>295</v>
      </c>
      <c r="D87" s="25" t="s">
        <v>296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2140</f>
        <v>2140</v>
      </c>
      <c r="L87" s="32" t="s">
        <v>904</v>
      </c>
      <c r="M87" s="31">
        <f>2140</f>
        <v>2140</v>
      </c>
      <c r="N87" s="32" t="s">
        <v>904</v>
      </c>
      <c r="O87" s="31">
        <f>1965</f>
        <v>1965</v>
      </c>
      <c r="P87" s="32" t="s">
        <v>695</v>
      </c>
      <c r="Q87" s="31">
        <f>1969</f>
        <v>1969</v>
      </c>
      <c r="R87" s="32" t="s">
        <v>934</v>
      </c>
      <c r="S87" s="33">
        <f>2035.91</f>
        <v>2035.91</v>
      </c>
      <c r="T87" s="30">
        <f>227315</f>
        <v>227315</v>
      </c>
      <c r="U87" s="30" t="str">
        <f>"－"</f>
        <v>－</v>
      </c>
      <c r="V87" s="30">
        <f>459087987</f>
        <v>459087987</v>
      </c>
      <c r="W87" s="30" t="str">
        <f>"－"</f>
        <v>－</v>
      </c>
      <c r="X87" s="34">
        <f>22</f>
        <v>22</v>
      </c>
    </row>
    <row r="88" spans="1:24" x14ac:dyDescent="0.15">
      <c r="A88" s="25" t="s">
        <v>979</v>
      </c>
      <c r="B88" s="25" t="s">
        <v>297</v>
      </c>
      <c r="C88" s="25" t="s">
        <v>298</v>
      </c>
      <c r="D88" s="25" t="s">
        <v>299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14975</f>
        <v>14975</v>
      </c>
      <c r="L88" s="32" t="s">
        <v>904</v>
      </c>
      <c r="M88" s="31">
        <f>15340</f>
        <v>15340</v>
      </c>
      <c r="N88" s="32" t="s">
        <v>911</v>
      </c>
      <c r="O88" s="31">
        <f>14060</f>
        <v>14060</v>
      </c>
      <c r="P88" s="32" t="s">
        <v>87</v>
      </c>
      <c r="Q88" s="31">
        <f>14485</f>
        <v>14485</v>
      </c>
      <c r="R88" s="32" t="s">
        <v>934</v>
      </c>
      <c r="S88" s="33">
        <f>14705.45</f>
        <v>14705.45</v>
      </c>
      <c r="T88" s="30">
        <f>52743</f>
        <v>52743</v>
      </c>
      <c r="U88" s="30">
        <f>6807</f>
        <v>6807</v>
      </c>
      <c r="V88" s="30">
        <f>774676476</f>
        <v>774676476</v>
      </c>
      <c r="W88" s="30">
        <f>100833886</f>
        <v>100833886</v>
      </c>
      <c r="X88" s="34">
        <f>22</f>
        <v>22</v>
      </c>
    </row>
    <row r="89" spans="1:24" x14ac:dyDescent="0.15">
      <c r="A89" s="25" t="s">
        <v>979</v>
      </c>
      <c r="B89" s="25" t="s">
        <v>300</v>
      </c>
      <c r="C89" s="25" t="s">
        <v>301</v>
      </c>
      <c r="D89" s="25" t="s">
        <v>302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9050</f>
        <v>9050</v>
      </c>
      <c r="L89" s="32" t="s">
        <v>904</v>
      </c>
      <c r="M89" s="31">
        <f>9250</f>
        <v>9250</v>
      </c>
      <c r="N89" s="32" t="s">
        <v>94</v>
      </c>
      <c r="O89" s="31">
        <f>8766</f>
        <v>8766</v>
      </c>
      <c r="P89" s="32" t="s">
        <v>909</v>
      </c>
      <c r="Q89" s="31">
        <f>9150</f>
        <v>9150</v>
      </c>
      <c r="R89" s="32" t="s">
        <v>934</v>
      </c>
      <c r="S89" s="33">
        <f>9123.68</f>
        <v>9123.68</v>
      </c>
      <c r="T89" s="30">
        <f>3373</f>
        <v>3373</v>
      </c>
      <c r="U89" s="30">
        <f>6</f>
        <v>6</v>
      </c>
      <c r="V89" s="30">
        <f>30754628</f>
        <v>30754628</v>
      </c>
      <c r="W89" s="30">
        <f>54691</f>
        <v>54691</v>
      </c>
      <c r="X89" s="34">
        <f>22</f>
        <v>22</v>
      </c>
    </row>
    <row r="90" spans="1:24" x14ac:dyDescent="0.15">
      <c r="A90" s="25" t="s">
        <v>979</v>
      </c>
      <c r="B90" s="25" t="s">
        <v>303</v>
      </c>
      <c r="C90" s="25" t="s">
        <v>304</v>
      </c>
      <c r="D90" s="25" t="s">
        <v>305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7253</f>
        <v>7253</v>
      </c>
      <c r="L90" s="32" t="s">
        <v>904</v>
      </c>
      <c r="M90" s="31">
        <f>7735</f>
        <v>7735</v>
      </c>
      <c r="N90" s="32" t="s">
        <v>56</v>
      </c>
      <c r="O90" s="31">
        <f>7239</f>
        <v>7239</v>
      </c>
      <c r="P90" s="32" t="s">
        <v>904</v>
      </c>
      <c r="Q90" s="31">
        <f>7560</f>
        <v>7560</v>
      </c>
      <c r="R90" s="32" t="s">
        <v>934</v>
      </c>
      <c r="S90" s="33">
        <f>7520.55</f>
        <v>7520.55</v>
      </c>
      <c r="T90" s="30">
        <f>2246234</f>
        <v>2246234</v>
      </c>
      <c r="U90" s="30">
        <f>161698</f>
        <v>161698</v>
      </c>
      <c r="V90" s="30">
        <f>16935960801</f>
        <v>16935960801</v>
      </c>
      <c r="W90" s="30">
        <f>1226735521</f>
        <v>1226735521</v>
      </c>
      <c r="X90" s="34">
        <f>22</f>
        <v>22</v>
      </c>
    </row>
    <row r="91" spans="1:24" x14ac:dyDescent="0.15">
      <c r="A91" s="25" t="s">
        <v>979</v>
      </c>
      <c r="B91" s="25" t="s">
        <v>306</v>
      </c>
      <c r="C91" s="25" t="s">
        <v>307</v>
      </c>
      <c r="D91" s="25" t="s">
        <v>308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3715</f>
        <v>3715</v>
      </c>
      <c r="L91" s="32" t="s">
        <v>904</v>
      </c>
      <c r="M91" s="31">
        <f>3910</f>
        <v>3910</v>
      </c>
      <c r="N91" s="32" t="s">
        <v>911</v>
      </c>
      <c r="O91" s="31">
        <f>3685</f>
        <v>3685</v>
      </c>
      <c r="P91" s="32" t="s">
        <v>94</v>
      </c>
      <c r="Q91" s="31">
        <f>3750</f>
        <v>3750</v>
      </c>
      <c r="R91" s="32" t="s">
        <v>934</v>
      </c>
      <c r="S91" s="33">
        <f>3787.05</f>
        <v>3787.05</v>
      </c>
      <c r="T91" s="30">
        <f>940196</f>
        <v>940196</v>
      </c>
      <c r="U91" s="30" t="str">
        <f>"－"</f>
        <v>－</v>
      </c>
      <c r="V91" s="30">
        <f>3573129080</f>
        <v>3573129080</v>
      </c>
      <c r="W91" s="30" t="str">
        <f>"－"</f>
        <v>－</v>
      </c>
      <c r="X91" s="34">
        <f>22</f>
        <v>22</v>
      </c>
    </row>
    <row r="92" spans="1:24" x14ac:dyDescent="0.15">
      <c r="A92" s="25" t="s">
        <v>979</v>
      </c>
      <c r="B92" s="25" t="s">
        <v>309</v>
      </c>
      <c r="C92" s="25" t="s">
        <v>310</v>
      </c>
      <c r="D92" s="25" t="s">
        <v>311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8400</f>
        <v>8400</v>
      </c>
      <c r="L92" s="32" t="s">
        <v>904</v>
      </c>
      <c r="M92" s="31">
        <f>8880</f>
        <v>8880</v>
      </c>
      <c r="N92" s="32" t="s">
        <v>911</v>
      </c>
      <c r="O92" s="31">
        <f>8343</f>
        <v>8343</v>
      </c>
      <c r="P92" s="32" t="s">
        <v>820</v>
      </c>
      <c r="Q92" s="31">
        <f>8419</f>
        <v>8419</v>
      </c>
      <c r="R92" s="32" t="s">
        <v>934</v>
      </c>
      <c r="S92" s="33">
        <f>8631</f>
        <v>8631</v>
      </c>
      <c r="T92" s="30">
        <f>203316</f>
        <v>203316</v>
      </c>
      <c r="U92" s="30">
        <f>10</f>
        <v>10</v>
      </c>
      <c r="V92" s="30">
        <f>1753407076</f>
        <v>1753407076</v>
      </c>
      <c r="W92" s="30">
        <f>87500</f>
        <v>87500</v>
      </c>
      <c r="X92" s="34">
        <f>22</f>
        <v>22</v>
      </c>
    </row>
    <row r="93" spans="1:24" x14ac:dyDescent="0.15">
      <c r="A93" s="25" t="s">
        <v>979</v>
      </c>
      <c r="B93" s="25" t="s">
        <v>312</v>
      </c>
      <c r="C93" s="25" t="s">
        <v>313</v>
      </c>
      <c r="D93" s="25" t="s">
        <v>314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77610</f>
        <v>77610</v>
      </c>
      <c r="L93" s="32" t="s">
        <v>904</v>
      </c>
      <c r="M93" s="31">
        <f>79500</f>
        <v>79500</v>
      </c>
      <c r="N93" s="32" t="s">
        <v>907</v>
      </c>
      <c r="O93" s="31">
        <f>71800</f>
        <v>71800</v>
      </c>
      <c r="P93" s="32" t="s">
        <v>695</v>
      </c>
      <c r="Q93" s="31">
        <f>78600</f>
        <v>78600</v>
      </c>
      <c r="R93" s="32" t="s">
        <v>934</v>
      </c>
      <c r="S93" s="33">
        <f>75960.91</f>
        <v>75960.91</v>
      </c>
      <c r="T93" s="30">
        <f>6874</f>
        <v>6874</v>
      </c>
      <c r="U93" s="30">
        <f>1</f>
        <v>1</v>
      </c>
      <c r="V93" s="30">
        <f>522859120</f>
        <v>522859120</v>
      </c>
      <c r="W93" s="30">
        <f>78010</f>
        <v>78010</v>
      </c>
      <c r="X93" s="34">
        <f>22</f>
        <v>22</v>
      </c>
    </row>
    <row r="94" spans="1:24" x14ac:dyDescent="0.15">
      <c r="A94" s="25" t="s">
        <v>979</v>
      </c>
      <c r="B94" s="25" t="s">
        <v>315</v>
      </c>
      <c r="C94" s="25" t="s">
        <v>940</v>
      </c>
      <c r="D94" s="25" t="s">
        <v>941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16595</f>
        <v>16595</v>
      </c>
      <c r="L94" s="32" t="s">
        <v>904</v>
      </c>
      <c r="M94" s="31">
        <f>17250</f>
        <v>17250</v>
      </c>
      <c r="N94" s="32" t="s">
        <v>911</v>
      </c>
      <c r="O94" s="31">
        <f>14950</f>
        <v>14950</v>
      </c>
      <c r="P94" s="32" t="s">
        <v>819</v>
      </c>
      <c r="Q94" s="31">
        <f>16025</f>
        <v>16025</v>
      </c>
      <c r="R94" s="32" t="s">
        <v>934</v>
      </c>
      <c r="S94" s="33">
        <f>16231.59</f>
        <v>16231.59</v>
      </c>
      <c r="T94" s="30">
        <f>2664319</f>
        <v>2664319</v>
      </c>
      <c r="U94" s="30">
        <f>18002</f>
        <v>18002</v>
      </c>
      <c r="V94" s="30">
        <f>42958780780</f>
        <v>42958780780</v>
      </c>
      <c r="W94" s="30">
        <f>298677030</f>
        <v>298677030</v>
      </c>
      <c r="X94" s="34">
        <f>22</f>
        <v>22</v>
      </c>
    </row>
    <row r="95" spans="1:24" x14ac:dyDescent="0.15">
      <c r="A95" s="25" t="s">
        <v>979</v>
      </c>
      <c r="B95" s="25" t="s">
        <v>318</v>
      </c>
      <c r="C95" s="25" t="s">
        <v>942</v>
      </c>
      <c r="D95" s="25" t="s">
        <v>943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41970</f>
        <v>41970</v>
      </c>
      <c r="L95" s="32" t="s">
        <v>904</v>
      </c>
      <c r="M95" s="31">
        <f>43650</f>
        <v>43650</v>
      </c>
      <c r="N95" s="32" t="s">
        <v>911</v>
      </c>
      <c r="O95" s="31">
        <f>38960</f>
        <v>38960</v>
      </c>
      <c r="P95" s="32" t="s">
        <v>819</v>
      </c>
      <c r="Q95" s="31">
        <f>41370</f>
        <v>41370</v>
      </c>
      <c r="R95" s="32" t="s">
        <v>934</v>
      </c>
      <c r="S95" s="33">
        <f>41475.45</f>
        <v>41475.449999999997</v>
      </c>
      <c r="T95" s="30">
        <f>281479</f>
        <v>281479</v>
      </c>
      <c r="U95" s="30">
        <f>47620</f>
        <v>47620</v>
      </c>
      <c r="V95" s="30">
        <f>11606467826</f>
        <v>11606467826</v>
      </c>
      <c r="W95" s="30">
        <f>1979427376</f>
        <v>1979427376</v>
      </c>
      <c r="X95" s="34">
        <f>22</f>
        <v>22</v>
      </c>
    </row>
    <row r="96" spans="1:24" x14ac:dyDescent="0.15">
      <c r="A96" s="25" t="s">
        <v>979</v>
      </c>
      <c r="B96" s="25" t="s">
        <v>321</v>
      </c>
      <c r="C96" s="25" t="s">
        <v>322</v>
      </c>
      <c r="D96" s="25" t="s">
        <v>323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5815</f>
        <v>5815</v>
      </c>
      <c r="L96" s="32" t="s">
        <v>904</v>
      </c>
      <c r="M96" s="31">
        <f>6034</f>
        <v>6034</v>
      </c>
      <c r="N96" s="32" t="s">
        <v>911</v>
      </c>
      <c r="O96" s="31">
        <f>5285</f>
        <v>5285</v>
      </c>
      <c r="P96" s="32" t="s">
        <v>819</v>
      </c>
      <c r="Q96" s="31">
        <f>5634</f>
        <v>5634</v>
      </c>
      <c r="R96" s="32" t="s">
        <v>934</v>
      </c>
      <c r="S96" s="33">
        <f>5691.41</f>
        <v>5691.41</v>
      </c>
      <c r="T96" s="30">
        <f>2990490</f>
        <v>2990490</v>
      </c>
      <c r="U96" s="30">
        <f>521310</f>
        <v>521310</v>
      </c>
      <c r="V96" s="30">
        <f>16880998042</f>
        <v>16880998042</v>
      </c>
      <c r="W96" s="30">
        <f>2975999362</f>
        <v>2975999362</v>
      </c>
      <c r="X96" s="34">
        <f>22</f>
        <v>22</v>
      </c>
    </row>
    <row r="97" spans="1:24" x14ac:dyDescent="0.15">
      <c r="A97" s="25" t="s">
        <v>979</v>
      </c>
      <c r="B97" s="25" t="s">
        <v>324</v>
      </c>
      <c r="C97" s="25" t="s">
        <v>325</v>
      </c>
      <c r="D97" s="25" t="s">
        <v>326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3757</f>
        <v>3757</v>
      </c>
      <c r="L97" s="32" t="s">
        <v>904</v>
      </c>
      <c r="M97" s="31">
        <f>3862</f>
        <v>3862</v>
      </c>
      <c r="N97" s="32" t="s">
        <v>911</v>
      </c>
      <c r="O97" s="31">
        <f>3426</f>
        <v>3426</v>
      </c>
      <c r="P97" s="32" t="s">
        <v>819</v>
      </c>
      <c r="Q97" s="31">
        <f>3599</f>
        <v>3599</v>
      </c>
      <c r="R97" s="32" t="s">
        <v>934</v>
      </c>
      <c r="S97" s="33">
        <f>3651.64</f>
        <v>3651.64</v>
      </c>
      <c r="T97" s="30">
        <f>119490</f>
        <v>119490</v>
      </c>
      <c r="U97" s="30" t="str">
        <f>"－"</f>
        <v>－</v>
      </c>
      <c r="V97" s="30">
        <f>435972560</f>
        <v>435972560</v>
      </c>
      <c r="W97" s="30" t="str">
        <f>"－"</f>
        <v>－</v>
      </c>
      <c r="X97" s="34">
        <f>22</f>
        <v>22</v>
      </c>
    </row>
    <row r="98" spans="1:24" x14ac:dyDescent="0.15">
      <c r="A98" s="25" t="s">
        <v>979</v>
      </c>
      <c r="B98" s="25" t="s">
        <v>327</v>
      </c>
      <c r="C98" s="25" t="s">
        <v>328</v>
      </c>
      <c r="D98" s="25" t="s">
        <v>329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4323</f>
        <v>4323</v>
      </c>
      <c r="L98" s="32" t="s">
        <v>904</v>
      </c>
      <c r="M98" s="31">
        <f>4455</f>
        <v>4455</v>
      </c>
      <c r="N98" s="32" t="s">
        <v>911</v>
      </c>
      <c r="O98" s="31">
        <f>3975</f>
        <v>3975</v>
      </c>
      <c r="P98" s="32" t="s">
        <v>87</v>
      </c>
      <c r="Q98" s="31">
        <f>4120</f>
        <v>4120</v>
      </c>
      <c r="R98" s="32" t="s">
        <v>934</v>
      </c>
      <c r="S98" s="33">
        <f>4234.73</f>
        <v>4234.7299999999996</v>
      </c>
      <c r="T98" s="30">
        <f>8860</f>
        <v>8860</v>
      </c>
      <c r="U98" s="30" t="str">
        <f>"－"</f>
        <v>－</v>
      </c>
      <c r="V98" s="30">
        <f>37610050</f>
        <v>37610050</v>
      </c>
      <c r="W98" s="30" t="str">
        <f>"－"</f>
        <v>－</v>
      </c>
      <c r="X98" s="34">
        <f>22</f>
        <v>22</v>
      </c>
    </row>
    <row r="99" spans="1:24" x14ac:dyDescent="0.15">
      <c r="A99" s="25" t="s">
        <v>979</v>
      </c>
      <c r="B99" s="25" t="s">
        <v>330</v>
      </c>
      <c r="C99" s="25" t="s">
        <v>331</v>
      </c>
      <c r="D99" s="25" t="s">
        <v>332</v>
      </c>
      <c r="E99" s="26" t="s">
        <v>45</v>
      </c>
      <c r="F99" s="27" t="s">
        <v>45</v>
      </c>
      <c r="G99" s="28" t="s">
        <v>45</v>
      </c>
      <c r="H99" s="29" t="s">
        <v>333</v>
      </c>
      <c r="I99" s="29" t="s">
        <v>46</v>
      </c>
      <c r="J99" s="30">
        <v>1</v>
      </c>
      <c r="K99" s="31">
        <f>2202</f>
        <v>2202</v>
      </c>
      <c r="L99" s="32" t="s">
        <v>904</v>
      </c>
      <c r="M99" s="31">
        <f>2739</f>
        <v>2739</v>
      </c>
      <c r="N99" s="32" t="s">
        <v>695</v>
      </c>
      <c r="O99" s="31">
        <f>2161</f>
        <v>2161</v>
      </c>
      <c r="P99" s="32" t="s">
        <v>912</v>
      </c>
      <c r="Q99" s="31">
        <f>2444</f>
        <v>2444</v>
      </c>
      <c r="R99" s="32" t="s">
        <v>934</v>
      </c>
      <c r="S99" s="33">
        <f>2407.27</f>
        <v>2407.27</v>
      </c>
      <c r="T99" s="30">
        <f>36081347</f>
        <v>36081347</v>
      </c>
      <c r="U99" s="30">
        <f>280363</f>
        <v>280363</v>
      </c>
      <c r="V99" s="30">
        <f>88786496185</f>
        <v>88786496185</v>
      </c>
      <c r="W99" s="30">
        <f>700853480</f>
        <v>700853480</v>
      </c>
      <c r="X99" s="34">
        <f>22</f>
        <v>22</v>
      </c>
    </row>
    <row r="100" spans="1:24" x14ac:dyDescent="0.15">
      <c r="A100" s="25" t="s">
        <v>979</v>
      </c>
      <c r="B100" s="25" t="s">
        <v>334</v>
      </c>
      <c r="C100" s="25" t="s">
        <v>335</v>
      </c>
      <c r="D100" s="25" t="s">
        <v>336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3169</f>
        <v>3169</v>
      </c>
      <c r="L100" s="32" t="s">
        <v>904</v>
      </c>
      <c r="M100" s="31">
        <f>3299</f>
        <v>3299</v>
      </c>
      <c r="N100" s="32" t="s">
        <v>911</v>
      </c>
      <c r="O100" s="31">
        <f>2930</f>
        <v>2930</v>
      </c>
      <c r="P100" s="32" t="s">
        <v>819</v>
      </c>
      <c r="Q100" s="31">
        <f>3076</f>
        <v>3076</v>
      </c>
      <c r="R100" s="32" t="s">
        <v>934</v>
      </c>
      <c r="S100" s="33">
        <f>3112.27</f>
        <v>3112.27</v>
      </c>
      <c r="T100" s="30">
        <f>125520</f>
        <v>125520</v>
      </c>
      <c r="U100" s="30">
        <f>60</f>
        <v>60</v>
      </c>
      <c r="V100" s="30">
        <f>386772885</f>
        <v>386772885</v>
      </c>
      <c r="W100" s="30">
        <f>194100</f>
        <v>194100</v>
      </c>
      <c r="X100" s="34">
        <f>22</f>
        <v>22</v>
      </c>
    </row>
    <row r="101" spans="1:24" x14ac:dyDescent="0.15">
      <c r="A101" s="25" t="s">
        <v>979</v>
      </c>
      <c r="B101" s="25" t="s">
        <v>337</v>
      </c>
      <c r="C101" s="25" t="s">
        <v>338</v>
      </c>
      <c r="D101" s="25" t="s">
        <v>339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1846</f>
        <v>1846</v>
      </c>
      <c r="L101" s="32" t="s">
        <v>904</v>
      </c>
      <c r="M101" s="31">
        <f>1860</f>
        <v>1860</v>
      </c>
      <c r="N101" s="32" t="s">
        <v>907</v>
      </c>
      <c r="O101" s="31">
        <f>1602</f>
        <v>1602</v>
      </c>
      <c r="P101" s="32" t="s">
        <v>819</v>
      </c>
      <c r="Q101" s="31">
        <f>1724</f>
        <v>1724</v>
      </c>
      <c r="R101" s="32" t="s">
        <v>934</v>
      </c>
      <c r="S101" s="33">
        <f>1735.93</f>
        <v>1735.93</v>
      </c>
      <c r="T101" s="30">
        <f>168730</f>
        <v>168730</v>
      </c>
      <c r="U101" s="30" t="str">
        <f>"－"</f>
        <v>－</v>
      </c>
      <c r="V101" s="30">
        <f>288451560</f>
        <v>288451560</v>
      </c>
      <c r="W101" s="30" t="str">
        <f>"－"</f>
        <v>－</v>
      </c>
      <c r="X101" s="34">
        <f>22</f>
        <v>22</v>
      </c>
    </row>
    <row r="102" spans="1:24" x14ac:dyDescent="0.15">
      <c r="A102" s="25" t="s">
        <v>979</v>
      </c>
      <c r="B102" s="25" t="s">
        <v>340</v>
      </c>
      <c r="C102" s="25" t="s">
        <v>341</v>
      </c>
      <c r="D102" s="25" t="s">
        <v>342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53340</f>
        <v>53340</v>
      </c>
      <c r="L102" s="32" t="s">
        <v>904</v>
      </c>
      <c r="M102" s="31">
        <f>55400</f>
        <v>55400</v>
      </c>
      <c r="N102" s="32" t="s">
        <v>911</v>
      </c>
      <c r="O102" s="31">
        <f>48500</f>
        <v>48500</v>
      </c>
      <c r="P102" s="32" t="s">
        <v>819</v>
      </c>
      <c r="Q102" s="31">
        <f>51510</f>
        <v>51510</v>
      </c>
      <c r="R102" s="32" t="s">
        <v>934</v>
      </c>
      <c r="S102" s="33">
        <f>52185.45</f>
        <v>52185.45</v>
      </c>
      <c r="T102" s="30">
        <f>182219</f>
        <v>182219</v>
      </c>
      <c r="U102" s="30">
        <f>27500</f>
        <v>27500</v>
      </c>
      <c r="V102" s="30">
        <f>9446597751</f>
        <v>9446597751</v>
      </c>
      <c r="W102" s="30">
        <f>1423571611</f>
        <v>1423571611</v>
      </c>
      <c r="X102" s="34">
        <f>22</f>
        <v>22</v>
      </c>
    </row>
    <row r="103" spans="1:24" x14ac:dyDescent="0.15">
      <c r="A103" s="25" t="s">
        <v>979</v>
      </c>
      <c r="B103" s="25" t="s">
        <v>343</v>
      </c>
      <c r="C103" s="25" t="s">
        <v>344</v>
      </c>
      <c r="D103" s="25" t="s">
        <v>345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3380</f>
        <v>3380</v>
      </c>
      <c r="L103" s="32" t="s">
        <v>904</v>
      </c>
      <c r="M103" s="31">
        <f>3475</f>
        <v>3475</v>
      </c>
      <c r="N103" s="32" t="s">
        <v>936</v>
      </c>
      <c r="O103" s="31">
        <f>3210</f>
        <v>3210</v>
      </c>
      <c r="P103" s="32" t="s">
        <v>819</v>
      </c>
      <c r="Q103" s="31">
        <f>3385</f>
        <v>3385</v>
      </c>
      <c r="R103" s="32" t="s">
        <v>934</v>
      </c>
      <c r="S103" s="33">
        <f>3368.64</f>
        <v>3368.64</v>
      </c>
      <c r="T103" s="30">
        <f>9028</f>
        <v>9028</v>
      </c>
      <c r="U103" s="30" t="str">
        <f>"－"</f>
        <v>－</v>
      </c>
      <c r="V103" s="30">
        <f>30248020</f>
        <v>30248020</v>
      </c>
      <c r="W103" s="30" t="str">
        <f>"－"</f>
        <v>－</v>
      </c>
      <c r="X103" s="34">
        <f>22</f>
        <v>22</v>
      </c>
    </row>
    <row r="104" spans="1:24" x14ac:dyDescent="0.15">
      <c r="A104" s="25" t="s">
        <v>979</v>
      </c>
      <c r="B104" s="25" t="s">
        <v>346</v>
      </c>
      <c r="C104" s="25" t="s">
        <v>347</v>
      </c>
      <c r="D104" s="25" t="s">
        <v>348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4385</f>
        <v>4385</v>
      </c>
      <c r="L104" s="32" t="s">
        <v>904</v>
      </c>
      <c r="M104" s="31">
        <f>4545</f>
        <v>4545</v>
      </c>
      <c r="N104" s="32" t="s">
        <v>911</v>
      </c>
      <c r="O104" s="31">
        <f>4305</f>
        <v>4305</v>
      </c>
      <c r="P104" s="32" t="s">
        <v>934</v>
      </c>
      <c r="Q104" s="31">
        <f>4305</f>
        <v>4305</v>
      </c>
      <c r="R104" s="32" t="s">
        <v>934</v>
      </c>
      <c r="S104" s="33">
        <f>4429.09</f>
        <v>4429.09</v>
      </c>
      <c r="T104" s="30">
        <f>3534</f>
        <v>3534</v>
      </c>
      <c r="U104" s="30" t="str">
        <f>"－"</f>
        <v>－</v>
      </c>
      <c r="V104" s="30">
        <f>15633675</f>
        <v>15633675</v>
      </c>
      <c r="W104" s="30" t="str">
        <f>"－"</f>
        <v>－</v>
      </c>
      <c r="X104" s="34">
        <f>22</f>
        <v>22</v>
      </c>
    </row>
    <row r="105" spans="1:24" x14ac:dyDescent="0.15">
      <c r="A105" s="25" t="s">
        <v>979</v>
      </c>
      <c r="B105" s="25" t="s">
        <v>349</v>
      </c>
      <c r="C105" s="25" t="s">
        <v>350</v>
      </c>
      <c r="D105" s="25" t="s">
        <v>351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2273</f>
        <v>2273</v>
      </c>
      <c r="L105" s="32" t="s">
        <v>904</v>
      </c>
      <c r="M105" s="31">
        <f>2273</f>
        <v>2273</v>
      </c>
      <c r="N105" s="32" t="s">
        <v>904</v>
      </c>
      <c r="O105" s="31">
        <f>1809</f>
        <v>1809</v>
      </c>
      <c r="P105" s="32" t="s">
        <v>87</v>
      </c>
      <c r="Q105" s="31">
        <f>2173</f>
        <v>2173</v>
      </c>
      <c r="R105" s="32" t="s">
        <v>934</v>
      </c>
      <c r="S105" s="33">
        <f>2083.14</f>
        <v>2083.14</v>
      </c>
      <c r="T105" s="30">
        <f>1457913</f>
        <v>1457913</v>
      </c>
      <c r="U105" s="30">
        <f>8</f>
        <v>8</v>
      </c>
      <c r="V105" s="30">
        <f>2990195171</f>
        <v>2990195171</v>
      </c>
      <c r="W105" s="30">
        <f>17544</f>
        <v>17544</v>
      </c>
      <c r="X105" s="34">
        <f>22</f>
        <v>22</v>
      </c>
    </row>
    <row r="106" spans="1:24" x14ac:dyDescent="0.15">
      <c r="A106" s="25" t="s">
        <v>979</v>
      </c>
      <c r="B106" s="25" t="s">
        <v>352</v>
      </c>
      <c r="C106" s="25" t="s">
        <v>353</v>
      </c>
      <c r="D106" s="25" t="s">
        <v>354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42850</f>
        <v>42850</v>
      </c>
      <c r="L106" s="32" t="s">
        <v>904</v>
      </c>
      <c r="M106" s="31">
        <f>44450</f>
        <v>44450</v>
      </c>
      <c r="N106" s="32" t="s">
        <v>905</v>
      </c>
      <c r="O106" s="31">
        <f>42400</f>
        <v>42400</v>
      </c>
      <c r="P106" s="32" t="s">
        <v>819</v>
      </c>
      <c r="Q106" s="31">
        <f>43560</f>
        <v>43560</v>
      </c>
      <c r="R106" s="32" t="s">
        <v>934</v>
      </c>
      <c r="S106" s="33">
        <f>43520</f>
        <v>43520</v>
      </c>
      <c r="T106" s="30">
        <f>12642</f>
        <v>12642</v>
      </c>
      <c r="U106" s="30" t="str">
        <f>"－"</f>
        <v>－</v>
      </c>
      <c r="V106" s="30">
        <f>551981380</f>
        <v>551981380</v>
      </c>
      <c r="W106" s="30" t="str">
        <f>"－"</f>
        <v>－</v>
      </c>
      <c r="X106" s="34">
        <f>22</f>
        <v>22</v>
      </c>
    </row>
    <row r="107" spans="1:24" x14ac:dyDescent="0.15">
      <c r="A107" s="25" t="s">
        <v>979</v>
      </c>
      <c r="B107" s="25" t="s">
        <v>355</v>
      </c>
      <c r="C107" s="25" t="s">
        <v>356</v>
      </c>
      <c r="D107" s="25" t="s">
        <v>357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23355</f>
        <v>23355</v>
      </c>
      <c r="L107" s="32" t="s">
        <v>904</v>
      </c>
      <c r="M107" s="31">
        <f>24900</f>
        <v>24900</v>
      </c>
      <c r="N107" s="32" t="s">
        <v>911</v>
      </c>
      <c r="O107" s="31">
        <f>20725</f>
        <v>20725</v>
      </c>
      <c r="P107" s="32" t="s">
        <v>87</v>
      </c>
      <c r="Q107" s="31">
        <f>22220</f>
        <v>22220</v>
      </c>
      <c r="R107" s="32" t="s">
        <v>934</v>
      </c>
      <c r="S107" s="33">
        <f>22822.5</f>
        <v>22822.5</v>
      </c>
      <c r="T107" s="30">
        <f>2888850</f>
        <v>2888850</v>
      </c>
      <c r="U107" s="30">
        <f>1110</f>
        <v>1110</v>
      </c>
      <c r="V107" s="30">
        <f>65751372250</f>
        <v>65751372250</v>
      </c>
      <c r="W107" s="30">
        <f>23833200</f>
        <v>23833200</v>
      </c>
      <c r="X107" s="34">
        <f>22</f>
        <v>22</v>
      </c>
    </row>
    <row r="108" spans="1:24" x14ac:dyDescent="0.15">
      <c r="A108" s="25" t="s">
        <v>979</v>
      </c>
      <c r="B108" s="25" t="s">
        <v>358</v>
      </c>
      <c r="C108" s="25" t="s">
        <v>359</v>
      </c>
      <c r="D108" s="25" t="s">
        <v>360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2123.5</f>
        <v>2123.5</v>
      </c>
      <c r="L108" s="32" t="s">
        <v>904</v>
      </c>
      <c r="M108" s="31">
        <f>2241</f>
        <v>2241</v>
      </c>
      <c r="N108" s="32" t="s">
        <v>87</v>
      </c>
      <c r="O108" s="31">
        <f>2052</f>
        <v>2052</v>
      </c>
      <c r="P108" s="32" t="s">
        <v>911</v>
      </c>
      <c r="Q108" s="31">
        <f>2160</f>
        <v>2160</v>
      </c>
      <c r="R108" s="32" t="s">
        <v>934</v>
      </c>
      <c r="S108" s="33">
        <f>2140.93</f>
        <v>2140.9299999999998</v>
      </c>
      <c r="T108" s="30">
        <f>251050</f>
        <v>251050</v>
      </c>
      <c r="U108" s="30">
        <f>23000</f>
        <v>23000</v>
      </c>
      <c r="V108" s="30">
        <f>536826070</f>
        <v>536826070</v>
      </c>
      <c r="W108" s="30">
        <f>51037000</f>
        <v>51037000</v>
      </c>
      <c r="X108" s="34">
        <f>22</f>
        <v>22</v>
      </c>
    </row>
    <row r="109" spans="1:24" x14ac:dyDescent="0.15">
      <c r="A109" s="25" t="s">
        <v>979</v>
      </c>
      <c r="B109" s="25" t="s">
        <v>361</v>
      </c>
      <c r="C109" s="25" t="s">
        <v>362</v>
      </c>
      <c r="D109" s="25" t="s">
        <v>363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14005</f>
        <v>14005</v>
      </c>
      <c r="L109" s="32" t="s">
        <v>904</v>
      </c>
      <c r="M109" s="31">
        <f>15140</f>
        <v>15140</v>
      </c>
      <c r="N109" s="32" t="s">
        <v>911</v>
      </c>
      <c r="O109" s="31">
        <f>12185</f>
        <v>12185</v>
      </c>
      <c r="P109" s="32" t="s">
        <v>87</v>
      </c>
      <c r="Q109" s="31">
        <f>13040</f>
        <v>13040</v>
      </c>
      <c r="R109" s="32" t="s">
        <v>934</v>
      </c>
      <c r="S109" s="33">
        <f>13640.23</f>
        <v>13640.23</v>
      </c>
      <c r="T109" s="30">
        <f>235841167</f>
        <v>235841167</v>
      </c>
      <c r="U109" s="30">
        <f>987331</f>
        <v>987331</v>
      </c>
      <c r="V109" s="30">
        <f>3196447464701</f>
        <v>3196447464701</v>
      </c>
      <c r="W109" s="30">
        <f>13249479396</f>
        <v>13249479396</v>
      </c>
      <c r="X109" s="34">
        <f>22</f>
        <v>22</v>
      </c>
    </row>
    <row r="110" spans="1:24" x14ac:dyDescent="0.15">
      <c r="A110" s="25" t="s">
        <v>979</v>
      </c>
      <c r="B110" s="25" t="s">
        <v>364</v>
      </c>
      <c r="C110" s="25" t="s">
        <v>365</v>
      </c>
      <c r="D110" s="25" t="s">
        <v>366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1001</f>
        <v>1001</v>
      </c>
      <c r="L110" s="32" t="s">
        <v>904</v>
      </c>
      <c r="M110" s="31">
        <f>1067</f>
        <v>1067</v>
      </c>
      <c r="N110" s="32" t="s">
        <v>87</v>
      </c>
      <c r="O110" s="31">
        <f>961</f>
        <v>961</v>
      </c>
      <c r="P110" s="32" t="s">
        <v>911</v>
      </c>
      <c r="Q110" s="31">
        <f>1028</f>
        <v>1028</v>
      </c>
      <c r="R110" s="32" t="s">
        <v>934</v>
      </c>
      <c r="S110" s="33">
        <f>1010.77</f>
        <v>1010.77</v>
      </c>
      <c r="T110" s="30">
        <f>93205467</f>
        <v>93205467</v>
      </c>
      <c r="U110" s="30">
        <f>8972008</f>
        <v>8972008</v>
      </c>
      <c r="V110" s="30">
        <f>94770938793</f>
        <v>94770938793</v>
      </c>
      <c r="W110" s="30">
        <f>9057594549</f>
        <v>9057594549</v>
      </c>
      <c r="X110" s="34">
        <f>22</f>
        <v>22</v>
      </c>
    </row>
    <row r="111" spans="1:24" x14ac:dyDescent="0.15">
      <c r="A111" s="25" t="s">
        <v>979</v>
      </c>
      <c r="B111" s="25" t="s">
        <v>367</v>
      </c>
      <c r="C111" s="25" t="s">
        <v>368</v>
      </c>
      <c r="D111" s="25" t="s">
        <v>369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5975</f>
        <v>5975</v>
      </c>
      <c r="L111" s="32" t="s">
        <v>904</v>
      </c>
      <c r="M111" s="31">
        <f>6998</f>
        <v>6998</v>
      </c>
      <c r="N111" s="32" t="s">
        <v>266</v>
      </c>
      <c r="O111" s="31">
        <f>5561</f>
        <v>5561</v>
      </c>
      <c r="P111" s="32" t="s">
        <v>909</v>
      </c>
      <c r="Q111" s="31">
        <f>6721</f>
        <v>6721</v>
      </c>
      <c r="R111" s="32" t="s">
        <v>934</v>
      </c>
      <c r="S111" s="33">
        <f>6276.77</f>
        <v>6276.77</v>
      </c>
      <c r="T111" s="30">
        <f>190430</f>
        <v>190430</v>
      </c>
      <c r="U111" s="30" t="str">
        <f>"－"</f>
        <v>－</v>
      </c>
      <c r="V111" s="30">
        <f>1202627400</f>
        <v>1202627400</v>
      </c>
      <c r="W111" s="30" t="str">
        <f>"－"</f>
        <v>－</v>
      </c>
      <c r="X111" s="34">
        <f>22</f>
        <v>22</v>
      </c>
    </row>
    <row r="112" spans="1:24" x14ac:dyDescent="0.15">
      <c r="A112" s="25" t="s">
        <v>979</v>
      </c>
      <c r="B112" s="25" t="s">
        <v>370</v>
      </c>
      <c r="C112" s="25" t="s">
        <v>371</v>
      </c>
      <c r="D112" s="25" t="s">
        <v>372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9889</f>
        <v>9889</v>
      </c>
      <c r="L112" s="32" t="s">
        <v>904</v>
      </c>
      <c r="M112" s="31">
        <f>10630</f>
        <v>10630</v>
      </c>
      <c r="N112" s="32" t="s">
        <v>695</v>
      </c>
      <c r="O112" s="31">
        <f>9600</f>
        <v>9600</v>
      </c>
      <c r="P112" s="32" t="s">
        <v>266</v>
      </c>
      <c r="Q112" s="31">
        <f>9855</f>
        <v>9855</v>
      </c>
      <c r="R112" s="32" t="s">
        <v>934</v>
      </c>
      <c r="S112" s="33">
        <f>10071</f>
        <v>10071</v>
      </c>
      <c r="T112" s="30">
        <f>14950</f>
        <v>14950</v>
      </c>
      <c r="U112" s="30" t="str">
        <f>"－"</f>
        <v>－</v>
      </c>
      <c r="V112" s="30">
        <f>151365650</f>
        <v>151365650</v>
      </c>
      <c r="W112" s="30" t="str">
        <f>"－"</f>
        <v>－</v>
      </c>
      <c r="X112" s="34">
        <f>22</f>
        <v>22</v>
      </c>
    </row>
    <row r="113" spans="1:24" x14ac:dyDescent="0.15">
      <c r="A113" s="25" t="s">
        <v>979</v>
      </c>
      <c r="B113" s="25" t="s">
        <v>373</v>
      </c>
      <c r="C113" s="25" t="s">
        <v>374</v>
      </c>
      <c r="D113" s="25" t="s">
        <v>375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775</f>
        <v>775</v>
      </c>
      <c r="L113" s="32" t="s">
        <v>904</v>
      </c>
      <c r="M113" s="31">
        <f>860</f>
        <v>860</v>
      </c>
      <c r="N113" s="32" t="s">
        <v>936</v>
      </c>
      <c r="O113" s="31">
        <f>745.1</f>
        <v>745.1</v>
      </c>
      <c r="P113" s="32" t="s">
        <v>907</v>
      </c>
      <c r="Q113" s="31">
        <f>851.8</f>
        <v>851.8</v>
      </c>
      <c r="R113" s="32" t="s">
        <v>934</v>
      </c>
      <c r="S113" s="33">
        <f>808.85</f>
        <v>808.85</v>
      </c>
      <c r="T113" s="30">
        <f>77660</f>
        <v>77660</v>
      </c>
      <c r="U113" s="30">
        <f>50000</f>
        <v>50000</v>
      </c>
      <c r="V113" s="30">
        <f>61162641</f>
        <v>61162641</v>
      </c>
      <c r="W113" s="30">
        <f>38454960</f>
        <v>38454960</v>
      </c>
      <c r="X113" s="34">
        <f>22</f>
        <v>22</v>
      </c>
    </row>
    <row r="114" spans="1:24" x14ac:dyDescent="0.15">
      <c r="A114" s="25" t="s">
        <v>979</v>
      </c>
      <c r="B114" s="25" t="s">
        <v>376</v>
      </c>
      <c r="C114" s="25" t="s">
        <v>377</v>
      </c>
      <c r="D114" s="25" t="s">
        <v>378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24125</f>
        <v>24125</v>
      </c>
      <c r="L114" s="32" t="s">
        <v>904</v>
      </c>
      <c r="M114" s="31">
        <f>24900</f>
        <v>24900</v>
      </c>
      <c r="N114" s="32" t="s">
        <v>911</v>
      </c>
      <c r="O114" s="31">
        <f>23615</f>
        <v>23615</v>
      </c>
      <c r="P114" s="32" t="s">
        <v>87</v>
      </c>
      <c r="Q114" s="31">
        <f>24135</f>
        <v>24135</v>
      </c>
      <c r="R114" s="32" t="s">
        <v>934</v>
      </c>
      <c r="S114" s="33">
        <f>24292.5</f>
        <v>24292.5</v>
      </c>
      <c r="T114" s="30">
        <f>90954</f>
        <v>90954</v>
      </c>
      <c r="U114" s="30">
        <f>49526</f>
        <v>49526</v>
      </c>
      <c r="V114" s="30">
        <f>2202627947</f>
        <v>2202627947</v>
      </c>
      <c r="W114" s="30">
        <f>1198402777</f>
        <v>1198402777</v>
      </c>
      <c r="X114" s="34">
        <f>22</f>
        <v>22</v>
      </c>
    </row>
    <row r="115" spans="1:24" x14ac:dyDescent="0.15">
      <c r="A115" s="25" t="s">
        <v>979</v>
      </c>
      <c r="B115" s="25" t="s">
        <v>379</v>
      </c>
      <c r="C115" s="25" t="s">
        <v>380</v>
      </c>
      <c r="D115" s="25" t="s">
        <v>381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2196</f>
        <v>2196</v>
      </c>
      <c r="L115" s="32" t="s">
        <v>904</v>
      </c>
      <c r="M115" s="31">
        <f>2272</f>
        <v>2272</v>
      </c>
      <c r="N115" s="32" t="s">
        <v>911</v>
      </c>
      <c r="O115" s="31">
        <f>2048</f>
        <v>2048</v>
      </c>
      <c r="P115" s="32" t="s">
        <v>87</v>
      </c>
      <c r="Q115" s="31">
        <f>2115</f>
        <v>2115</v>
      </c>
      <c r="R115" s="32" t="s">
        <v>934</v>
      </c>
      <c r="S115" s="33">
        <f>2161.95</f>
        <v>2161.9499999999998</v>
      </c>
      <c r="T115" s="30">
        <f>501415</f>
        <v>501415</v>
      </c>
      <c r="U115" s="30">
        <f>462000</f>
        <v>462000</v>
      </c>
      <c r="V115" s="30">
        <f>1085678901</f>
        <v>1085678901</v>
      </c>
      <c r="W115" s="30">
        <f>1001477400</f>
        <v>1001477400</v>
      </c>
      <c r="X115" s="34">
        <f>22</f>
        <v>22</v>
      </c>
    </row>
    <row r="116" spans="1:24" x14ac:dyDescent="0.15">
      <c r="A116" s="25" t="s">
        <v>979</v>
      </c>
      <c r="B116" s="25" t="s">
        <v>382</v>
      </c>
      <c r="C116" s="25" t="s">
        <v>383</v>
      </c>
      <c r="D116" s="25" t="s">
        <v>384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14985</f>
        <v>14985</v>
      </c>
      <c r="L116" s="32" t="s">
        <v>904</v>
      </c>
      <c r="M116" s="31">
        <f>16205</f>
        <v>16205</v>
      </c>
      <c r="N116" s="32" t="s">
        <v>911</v>
      </c>
      <c r="O116" s="31">
        <f>13045</f>
        <v>13045</v>
      </c>
      <c r="P116" s="32" t="s">
        <v>87</v>
      </c>
      <c r="Q116" s="31">
        <f>13950</f>
        <v>13950</v>
      </c>
      <c r="R116" s="32" t="s">
        <v>934</v>
      </c>
      <c r="S116" s="33">
        <f>14599.77</f>
        <v>14599.77</v>
      </c>
      <c r="T116" s="30">
        <f>27890330</f>
        <v>27890330</v>
      </c>
      <c r="U116" s="30">
        <f>80270</f>
        <v>80270</v>
      </c>
      <c r="V116" s="30">
        <f>407994394050</f>
        <v>407994394050</v>
      </c>
      <c r="W116" s="30">
        <f>1163272350</f>
        <v>1163272350</v>
      </c>
      <c r="X116" s="34">
        <f>22</f>
        <v>22</v>
      </c>
    </row>
    <row r="117" spans="1:24" x14ac:dyDescent="0.15">
      <c r="A117" s="25" t="s">
        <v>979</v>
      </c>
      <c r="B117" s="25" t="s">
        <v>385</v>
      </c>
      <c r="C117" s="25" t="s">
        <v>386</v>
      </c>
      <c r="D117" s="25" t="s">
        <v>387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2657.5</f>
        <v>2657.5</v>
      </c>
      <c r="L117" s="32" t="s">
        <v>904</v>
      </c>
      <c r="M117" s="31">
        <f>2833</f>
        <v>2833</v>
      </c>
      <c r="N117" s="32" t="s">
        <v>87</v>
      </c>
      <c r="O117" s="31">
        <f>2552.5</f>
        <v>2552.5</v>
      </c>
      <c r="P117" s="32" t="s">
        <v>911</v>
      </c>
      <c r="Q117" s="31">
        <f>2734</f>
        <v>2734</v>
      </c>
      <c r="R117" s="32" t="s">
        <v>934</v>
      </c>
      <c r="S117" s="33">
        <f>2685.93</f>
        <v>2685.93</v>
      </c>
      <c r="T117" s="30">
        <f>4157910</f>
        <v>4157910</v>
      </c>
      <c r="U117" s="30">
        <f>2528000</f>
        <v>2528000</v>
      </c>
      <c r="V117" s="30">
        <f>11244490305</f>
        <v>11244490305</v>
      </c>
      <c r="W117" s="30">
        <f>6820303700</f>
        <v>6820303700</v>
      </c>
      <c r="X117" s="34">
        <f>22</f>
        <v>22</v>
      </c>
    </row>
    <row r="118" spans="1:24" x14ac:dyDescent="0.15">
      <c r="A118" s="25" t="s">
        <v>979</v>
      </c>
      <c r="B118" s="25" t="s">
        <v>388</v>
      </c>
      <c r="C118" s="25" t="s">
        <v>389</v>
      </c>
      <c r="D118" s="25" t="s">
        <v>390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892.2</f>
        <v>892.2</v>
      </c>
      <c r="L118" s="32" t="s">
        <v>904</v>
      </c>
      <c r="M118" s="31">
        <f>990.5</f>
        <v>990.5</v>
      </c>
      <c r="N118" s="32" t="s">
        <v>266</v>
      </c>
      <c r="O118" s="31">
        <f>850.2</f>
        <v>850.2</v>
      </c>
      <c r="P118" s="32" t="s">
        <v>908</v>
      </c>
      <c r="Q118" s="31">
        <f>910</f>
        <v>910</v>
      </c>
      <c r="R118" s="32" t="s">
        <v>266</v>
      </c>
      <c r="S118" s="33">
        <f>903.4</f>
        <v>903.4</v>
      </c>
      <c r="T118" s="30">
        <f>2450</f>
        <v>2450</v>
      </c>
      <c r="U118" s="30" t="str">
        <f>"－"</f>
        <v>－</v>
      </c>
      <c r="V118" s="30">
        <f>2267841</f>
        <v>2267841</v>
      </c>
      <c r="W118" s="30" t="str">
        <f>"－"</f>
        <v>－</v>
      </c>
      <c r="X118" s="34">
        <f>16</f>
        <v>16</v>
      </c>
    </row>
    <row r="119" spans="1:24" x14ac:dyDescent="0.15">
      <c r="A119" s="25" t="s">
        <v>979</v>
      </c>
      <c r="B119" s="25" t="s">
        <v>391</v>
      </c>
      <c r="C119" s="25" t="s">
        <v>392</v>
      </c>
      <c r="D119" s="25" t="s">
        <v>393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1540</f>
        <v>1540</v>
      </c>
      <c r="L119" s="32" t="s">
        <v>904</v>
      </c>
      <c r="M119" s="31">
        <f>1545</f>
        <v>1545</v>
      </c>
      <c r="N119" s="32" t="s">
        <v>907</v>
      </c>
      <c r="O119" s="31">
        <f>1460</f>
        <v>1460</v>
      </c>
      <c r="P119" s="32" t="s">
        <v>935</v>
      </c>
      <c r="Q119" s="31">
        <f>1488</f>
        <v>1488</v>
      </c>
      <c r="R119" s="32" t="s">
        <v>934</v>
      </c>
      <c r="S119" s="33">
        <f>1506.4</f>
        <v>1506.4</v>
      </c>
      <c r="T119" s="30">
        <f>220230</f>
        <v>220230</v>
      </c>
      <c r="U119" s="30">
        <f>199910</f>
        <v>199910</v>
      </c>
      <c r="V119" s="30">
        <f>331810583</f>
        <v>331810583</v>
      </c>
      <c r="W119" s="30">
        <f>300547583</f>
        <v>300547583</v>
      </c>
      <c r="X119" s="34">
        <f>10</f>
        <v>10</v>
      </c>
    </row>
    <row r="120" spans="1:24" x14ac:dyDescent="0.15">
      <c r="A120" s="25" t="s">
        <v>979</v>
      </c>
      <c r="B120" s="25" t="s">
        <v>394</v>
      </c>
      <c r="C120" s="25" t="s">
        <v>395</v>
      </c>
      <c r="D120" s="25" t="s">
        <v>396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1642</f>
        <v>1642</v>
      </c>
      <c r="L120" s="32" t="s">
        <v>904</v>
      </c>
      <c r="M120" s="31">
        <f>1686</f>
        <v>1686</v>
      </c>
      <c r="N120" s="32" t="s">
        <v>56</v>
      </c>
      <c r="O120" s="31">
        <f>1557</f>
        <v>1557</v>
      </c>
      <c r="P120" s="32" t="s">
        <v>87</v>
      </c>
      <c r="Q120" s="31">
        <f>1613</f>
        <v>1613</v>
      </c>
      <c r="R120" s="32" t="s">
        <v>934</v>
      </c>
      <c r="S120" s="33">
        <f>1632.23</f>
        <v>1632.23</v>
      </c>
      <c r="T120" s="30">
        <f>7995</f>
        <v>7995</v>
      </c>
      <c r="U120" s="30" t="str">
        <f>"－"</f>
        <v>－</v>
      </c>
      <c r="V120" s="30">
        <f>12954667</f>
        <v>12954667</v>
      </c>
      <c r="W120" s="30" t="str">
        <f>"－"</f>
        <v>－</v>
      </c>
      <c r="X120" s="34">
        <f>22</f>
        <v>22</v>
      </c>
    </row>
    <row r="121" spans="1:24" x14ac:dyDescent="0.15">
      <c r="A121" s="25" t="s">
        <v>979</v>
      </c>
      <c r="B121" s="25" t="s">
        <v>397</v>
      </c>
      <c r="C121" s="25" t="s">
        <v>398</v>
      </c>
      <c r="D121" s="25" t="s">
        <v>399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17295</f>
        <v>17295</v>
      </c>
      <c r="L121" s="32" t="s">
        <v>904</v>
      </c>
      <c r="M121" s="31">
        <f>17870</f>
        <v>17870</v>
      </c>
      <c r="N121" s="32" t="s">
        <v>911</v>
      </c>
      <c r="O121" s="31">
        <f>16300</f>
        <v>16300</v>
      </c>
      <c r="P121" s="32" t="s">
        <v>87</v>
      </c>
      <c r="Q121" s="31">
        <f>16860</f>
        <v>16860</v>
      </c>
      <c r="R121" s="32" t="s">
        <v>934</v>
      </c>
      <c r="S121" s="33">
        <f>17107.5</f>
        <v>17107.5</v>
      </c>
      <c r="T121" s="30">
        <f>38708</f>
        <v>38708</v>
      </c>
      <c r="U121" s="30">
        <f>12002</f>
        <v>12002</v>
      </c>
      <c r="V121" s="30">
        <f>667694440</f>
        <v>667694440</v>
      </c>
      <c r="W121" s="30">
        <f>208571130</f>
        <v>208571130</v>
      </c>
      <c r="X121" s="34">
        <f>22</f>
        <v>22</v>
      </c>
    </row>
    <row r="122" spans="1:24" x14ac:dyDescent="0.15">
      <c r="A122" s="25" t="s">
        <v>979</v>
      </c>
      <c r="B122" s="25" t="s">
        <v>400</v>
      </c>
      <c r="C122" s="25" t="s">
        <v>401</v>
      </c>
      <c r="D122" s="25" t="s">
        <v>402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1605</f>
        <v>1605</v>
      </c>
      <c r="L122" s="32" t="s">
        <v>904</v>
      </c>
      <c r="M122" s="31">
        <f>1650</f>
        <v>1650</v>
      </c>
      <c r="N122" s="32" t="s">
        <v>912</v>
      </c>
      <c r="O122" s="31">
        <f>1511</f>
        <v>1511</v>
      </c>
      <c r="P122" s="32" t="s">
        <v>87</v>
      </c>
      <c r="Q122" s="31">
        <f>1559</f>
        <v>1559</v>
      </c>
      <c r="R122" s="32" t="s">
        <v>934</v>
      </c>
      <c r="S122" s="33">
        <f>1581.86</f>
        <v>1581.86</v>
      </c>
      <c r="T122" s="30">
        <f>231376</f>
        <v>231376</v>
      </c>
      <c r="U122" s="30">
        <f>24765</f>
        <v>24765</v>
      </c>
      <c r="V122" s="30">
        <f>366499873</f>
        <v>366499873</v>
      </c>
      <c r="W122" s="30">
        <f>39804246</f>
        <v>39804246</v>
      </c>
      <c r="X122" s="34">
        <f>22</f>
        <v>22</v>
      </c>
    </row>
    <row r="123" spans="1:24" x14ac:dyDescent="0.15">
      <c r="A123" s="25" t="s">
        <v>979</v>
      </c>
      <c r="B123" s="25" t="s">
        <v>403</v>
      </c>
      <c r="C123" s="25" t="s">
        <v>404</v>
      </c>
      <c r="D123" s="25" t="s">
        <v>405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17830</f>
        <v>17830</v>
      </c>
      <c r="L123" s="32" t="s">
        <v>904</v>
      </c>
      <c r="M123" s="31">
        <f>18450</f>
        <v>18450</v>
      </c>
      <c r="N123" s="32" t="s">
        <v>905</v>
      </c>
      <c r="O123" s="31">
        <f>16830</f>
        <v>16830</v>
      </c>
      <c r="P123" s="32" t="s">
        <v>87</v>
      </c>
      <c r="Q123" s="31">
        <f>17400</f>
        <v>17400</v>
      </c>
      <c r="R123" s="32" t="s">
        <v>934</v>
      </c>
      <c r="S123" s="33">
        <f>17694.32</f>
        <v>17694.32</v>
      </c>
      <c r="T123" s="30">
        <f>20754</f>
        <v>20754</v>
      </c>
      <c r="U123" s="30">
        <f>576</f>
        <v>576</v>
      </c>
      <c r="V123" s="30">
        <f>364592490</f>
        <v>364592490</v>
      </c>
      <c r="W123" s="30">
        <f>9963820</f>
        <v>9963820</v>
      </c>
      <c r="X123" s="34">
        <f>22</f>
        <v>22</v>
      </c>
    </row>
    <row r="124" spans="1:24" x14ac:dyDescent="0.15">
      <c r="A124" s="25" t="s">
        <v>979</v>
      </c>
      <c r="B124" s="25" t="s">
        <v>406</v>
      </c>
      <c r="C124" s="25" t="s">
        <v>407</v>
      </c>
      <c r="D124" s="25" t="s">
        <v>408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2041</f>
        <v>2041</v>
      </c>
      <c r="L124" s="32" t="s">
        <v>904</v>
      </c>
      <c r="M124" s="31">
        <f>2062.5</f>
        <v>2062.5</v>
      </c>
      <c r="N124" s="32" t="s">
        <v>905</v>
      </c>
      <c r="O124" s="31">
        <f>1915</f>
        <v>1915</v>
      </c>
      <c r="P124" s="32" t="s">
        <v>915</v>
      </c>
      <c r="Q124" s="31">
        <f>2007.5</f>
        <v>2007.5</v>
      </c>
      <c r="R124" s="32" t="s">
        <v>934</v>
      </c>
      <c r="S124" s="33">
        <f>1997.68</f>
        <v>1997.68</v>
      </c>
      <c r="T124" s="30">
        <f>2656010</f>
        <v>2656010</v>
      </c>
      <c r="U124" s="30">
        <f>904840</f>
        <v>904840</v>
      </c>
      <c r="V124" s="30">
        <f>5370120071</f>
        <v>5370120071</v>
      </c>
      <c r="W124" s="30">
        <f>1847725876</f>
        <v>1847725876</v>
      </c>
      <c r="X124" s="34">
        <f>22</f>
        <v>22</v>
      </c>
    </row>
    <row r="125" spans="1:24" x14ac:dyDescent="0.15">
      <c r="A125" s="25" t="s">
        <v>979</v>
      </c>
      <c r="B125" s="25" t="s">
        <v>409</v>
      </c>
      <c r="C125" s="25" t="s">
        <v>410</v>
      </c>
      <c r="D125" s="25" t="s">
        <v>411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 t="str">
        <f>"－"</f>
        <v>－</v>
      </c>
      <c r="L125" s="32"/>
      <c r="M125" s="31" t="str">
        <f>"－"</f>
        <v>－</v>
      </c>
      <c r="N125" s="32"/>
      <c r="O125" s="31" t="str">
        <f>"－"</f>
        <v>－</v>
      </c>
      <c r="P125" s="32"/>
      <c r="Q125" s="31" t="str">
        <f>"－"</f>
        <v>－</v>
      </c>
      <c r="R125" s="32"/>
      <c r="S125" s="33" t="str">
        <f t="shared" ref="S125:X125" si="2">"－"</f>
        <v>－</v>
      </c>
      <c r="T125" s="30" t="str">
        <f t="shared" si="2"/>
        <v>－</v>
      </c>
      <c r="U125" s="30" t="str">
        <f t="shared" si="2"/>
        <v>－</v>
      </c>
      <c r="V125" s="30" t="str">
        <f t="shared" si="2"/>
        <v>－</v>
      </c>
      <c r="W125" s="30" t="str">
        <f t="shared" si="2"/>
        <v>－</v>
      </c>
      <c r="X125" s="34" t="str">
        <f t="shared" si="2"/>
        <v>－</v>
      </c>
    </row>
    <row r="126" spans="1:24" x14ac:dyDescent="0.15">
      <c r="A126" s="25" t="s">
        <v>979</v>
      </c>
      <c r="B126" s="25" t="s">
        <v>412</v>
      </c>
      <c r="C126" s="25" t="s">
        <v>413</v>
      </c>
      <c r="D126" s="25" t="s">
        <v>414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2058.5</f>
        <v>2058.5</v>
      </c>
      <c r="L126" s="32" t="s">
        <v>904</v>
      </c>
      <c r="M126" s="31">
        <f>2073.5</f>
        <v>2073.5</v>
      </c>
      <c r="N126" s="32" t="s">
        <v>907</v>
      </c>
      <c r="O126" s="31">
        <f>1918.5</f>
        <v>1918.5</v>
      </c>
      <c r="P126" s="32" t="s">
        <v>915</v>
      </c>
      <c r="Q126" s="31">
        <f>2016.5</f>
        <v>2016.5</v>
      </c>
      <c r="R126" s="32" t="s">
        <v>934</v>
      </c>
      <c r="S126" s="33">
        <f>2006.18</f>
        <v>2006.18</v>
      </c>
      <c r="T126" s="30">
        <f>2223190</f>
        <v>2223190</v>
      </c>
      <c r="U126" s="30">
        <f>539950</f>
        <v>539950</v>
      </c>
      <c r="V126" s="30">
        <f>4520005240</f>
        <v>4520005240</v>
      </c>
      <c r="W126" s="30">
        <f>1105823500</f>
        <v>1105823500</v>
      </c>
      <c r="X126" s="34">
        <f>22</f>
        <v>22</v>
      </c>
    </row>
    <row r="127" spans="1:24" x14ac:dyDescent="0.15">
      <c r="A127" s="25" t="s">
        <v>979</v>
      </c>
      <c r="B127" s="25" t="s">
        <v>415</v>
      </c>
      <c r="C127" s="25" t="s">
        <v>416</v>
      </c>
      <c r="D127" s="25" t="s">
        <v>417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17640</f>
        <v>17640</v>
      </c>
      <c r="L127" s="32" t="s">
        <v>904</v>
      </c>
      <c r="M127" s="31">
        <f>18175</f>
        <v>18175</v>
      </c>
      <c r="N127" s="32" t="s">
        <v>911</v>
      </c>
      <c r="O127" s="31">
        <f>16750</f>
        <v>16750</v>
      </c>
      <c r="P127" s="32" t="s">
        <v>819</v>
      </c>
      <c r="Q127" s="31">
        <f>17285</f>
        <v>17285</v>
      </c>
      <c r="R127" s="32" t="s">
        <v>934</v>
      </c>
      <c r="S127" s="33">
        <f>17565.88</f>
        <v>17565.88</v>
      </c>
      <c r="T127" s="30">
        <f>30048</f>
        <v>30048</v>
      </c>
      <c r="U127" s="30">
        <f>29435</f>
        <v>29435</v>
      </c>
      <c r="V127" s="30">
        <f>514954421</f>
        <v>514954421</v>
      </c>
      <c r="W127" s="30">
        <f>504287361</f>
        <v>504287361</v>
      </c>
      <c r="X127" s="34">
        <f>17</f>
        <v>17</v>
      </c>
    </row>
    <row r="128" spans="1:24" x14ac:dyDescent="0.15">
      <c r="A128" s="25" t="s">
        <v>979</v>
      </c>
      <c r="B128" s="25" t="s">
        <v>418</v>
      </c>
      <c r="C128" s="25" t="s">
        <v>419</v>
      </c>
      <c r="D128" s="25" t="s">
        <v>420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100</v>
      </c>
      <c r="K128" s="31">
        <f>165.8</f>
        <v>165.8</v>
      </c>
      <c r="L128" s="32" t="s">
        <v>904</v>
      </c>
      <c r="M128" s="31">
        <f>172</f>
        <v>172</v>
      </c>
      <c r="N128" s="32" t="s">
        <v>935</v>
      </c>
      <c r="O128" s="31">
        <f>165.5</f>
        <v>165.5</v>
      </c>
      <c r="P128" s="32" t="s">
        <v>56</v>
      </c>
      <c r="Q128" s="31">
        <f>168.9</f>
        <v>168.9</v>
      </c>
      <c r="R128" s="32" t="s">
        <v>934</v>
      </c>
      <c r="S128" s="33">
        <f>168.74</f>
        <v>168.74</v>
      </c>
      <c r="T128" s="30">
        <f>20232300</f>
        <v>20232300</v>
      </c>
      <c r="U128" s="30">
        <f>3600</f>
        <v>3600</v>
      </c>
      <c r="V128" s="30">
        <f>3409307540</f>
        <v>3409307540</v>
      </c>
      <c r="W128" s="30">
        <f>593290</f>
        <v>593290</v>
      </c>
      <c r="X128" s="34">
        <f>22</f>
        <v>22</v>
      </c>
    </row>
    <row r="129" spans="1:24" x14ac:dyDescent="0.15">
      <c r="A129" s="25" t="s">
        <v>979</v>
      </c>
      <c r="B129" s="25" t="s">
        <v>421</v>
      </c>
      <c r="C129" s="25" t="s">
        <v>422</v>
      </c>
      <c r="D129" s="25" t="s">
        <v>423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27170</f>
        <v>27170</v>
      </c>
      <c r="L129" s="32" t="s">
        <v>904</v>
      </c>
      <c r="M129" s="31">
        <f>29105</f>
        <v>29105</v>
      </c>
      <c r="N129" s="32" t="s">
        <v>934</v>
      </c>
      <c r="O129" s="31">
        <f>27090</f>
        <v>27090</v>
      </c>
      <c r="P129" s="32" t="s">
        <v>915</v>
      </c>
      <c r="Q129" s="31">
        <f>28860</f>
        <v>28860</v>
      </c>
      <c r="R129" s="32" t="s">
        <v>934</v>
      </c>
      <c r="S129" s="33">
        <f>27834.32</f>
        <v>27834.32</v>
      </c>
      <c r="T129" s="30">
        <f>1746</f>
        <v>1746</v>
      </c>
      <c r="U129" s="30" t="str">
        <f>"－"</f>
        <v>－</v>
      </c>
      <c r="V129" s="30">
        <f>48414175</f>
        <v>48414175</v>
      </c>
      <c r="W129" s="30" t="str">
        <f>"－"</f>
        <v>－</v>
      </c>
      <c r="X129" s="34">
        <f>22</f>
        <v>22</v>
      </c>
    </row>
    <row r="130" spans="1:24" x14ac:dyDescent="0.15">
      <c r="A130" s="25" t="s">
        <v>979</v>
      </c>
      <c r="B130" s="25" t="s">
        <v>424</v>
      </c>
      <c r="C130" s="25" t="s">
        <v>425</v>
      </c>
      <c r="D130" s="25" t="s">
        <v>426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14850</f>
        <v>14850</v>
      </c>
      <c r="L130" s="32" t="s">
        <v>904</v>
      </c>
      <c r="M130" s="31">
        <f>16460</f>
        <v>16460</v>
      </c>
      <c r="N130" s="32" t="s">
        <v>911</v>
      </c>
      <c r="O130" s="31">
        <f>13450</f>
        <v>13450</v>
      </c>
      <c r="P130" s="32" t="s">
        <v>820</v>
      </c>
      <c r="Q130" s="31">
        <f>14080</f>
        <v>14080</v>
      </c>
      <c r="R130" s="32" t="s">
        <v>934</v>
      </c>
      <c r="S130" s="33">
        <f>14852.95</f>
        <v>14852.95</v>
      </c>
      <c r="T130" s="30">
        <f>38708</f>
        <v>38708</v>
      </c>
      <c r="U130" s="30">
        <f>2</f>
        <v>2</v>
      </c>
      <c r="V130" s="30">
        <f>571562365</f>
        <v>571562365</v>
      </c>
      <c r="W130" s="30">
        <f>26600</f>
        <v>26600</v>
      </c>
      <c r="X130" s="34">
        <f>22</f>
        <v>22</v>
      </c>
    </row>
    <row r="131" spans="1:24" x14ac:dyDescent="0.15">
      <c r="A131" s="25" t="s">
        <v>979</v>
      </c>
      <c r="B131" s="25" t="s">
        <v>427</v>
      </c>
      <c r="C131" s="25" t="s">
        <v>428</v>
      </c>
      <c r="D131" s="25" t="s">
        <v>429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21000</f>
        <v>21000</v>
      </c>
      <c r="L131" s="32" t="s">
        <v>904</v>
      </c>
      <c r="M131" s="31">
        <f>21795</f>
        <v>21795</v>
      </c>
      <c r="N131" s="32" t="s">
        <v>912</v>
      </c>
      <c r="O131" s="31">
        <f>20515</f>
        <v>20515</v>
      </c>
      <c r="P131" s="32" t="s">
        <v>87</v>
      </c>
      <c r="Q131" s="31">
        <f>21440</f>
        <v>21440</v>
      </c>
      <c r="R131" s="32" t="s">
        <v>934</v>
      </c>
      <c r="S131" s="33">
        <f>21251.36</f>
        <v>21251.360000000001</v>
      </c>
      <c r="T131" s="30">
        <f>663</f>
        <v>663</v>
      </c>
      <c r="U131" s="30" t="str">
        <f>"－"</f>
        <v>－</v>
      </c>
      <c r="V131" s="30">
        <f>14165385</f>
        <v>14165385</v>
      </c>
      <c r="W131" s="30" t="str">
        <f>"－"</f>
        <v>－</v>
      </c>
      <c r="X131" s="34">
        <f>22</f>
        <v>22</v>
      </c>
    </row>
    <row r="132" spans="1:24" x14ac:dyDescent="0.15">
      <c r="A132" s="25" t="s">
        <v>979</v>
      </c>
      <c r="B132" s="25" t="s">
        <v>430</v>
      </c>
      <c r="C132" s="25" t="s">
        <v>431</v>
      </c>
      <c r="D132" s="25" t="s">
        <v>432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24740</f>
        <v>24740</v>
      </c>
      <c r="L132" s="32" t="s">
        <v>904</v>
      </c>
      <c r="M132" s="31">
        <f>25595</f>
        <v>25595</v>
      </c>
      <c r="N132" s="32" t="s">
        <v>912</v>
      </c>
      <c r="O132" s="31">
        <f>23260</f>
        <v>23260</v>
      </c>
      <c r="P132" s="32" t="s">
        <v>87</v>
      </c>
      <c r="Q132" s="31">
        <f>24110</f>
        <v>24110</v>
      </c>
      <c r="R132" s="32" t="s">
        <v>934</v>
      </c>
      <c r="S132" s="33">
        <f>24500.23</f>
        <v>24500.23</v>
      </c>
      <c r="T132" s="30">
        <f>2334</f>
        <v>2334</v>
      </c>
      <c r="U132" s="30" t="str">
        <f>"－"</f>
        <v>－</v>
      </c>
      <c r="V132" s="30">
        <f>56101230</f>
        <v>56101230</v>
      </c>
      <c r="W132" s="30" t="str">
        <f>"－"</f>
        <v>－</v>
      </c>
      <c r="X132" s="34">
        <f>22</f>
        <v>22</v>
      </c>
    </row>
    <row r="133" spans="1:24" x14ac:dyDescent="0.15">
      <c r="A133" s="25" t="s">
        <v>979</v>
      </c>
      <c r="B133" s="25" t="s">
        <v>433</v>
      </c>
      <c r="C133" s="25" t="s">
        <v>434</v>
      </c>
      <c r="D133" s="25" t="s">
        <v>435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23495</f>
        <v>23495</v>
      </c>
      <c r="L133" s="32" t="s">
        <v>904</v>
      </c>
      <c r="M133" s="31">
        <f>24380</f>
        <v>24380</v>
      </c>
      <c r="N133" s="32" t="s">
        <v>934</v>
      </c>
      <c r="O133" s="31">
        <f>22050</f>
        <v>22050</v>
      </c>
      <c r="P133" s="32" t="s">
        <v>819</v>
      </c>
      <c r="Q133" s="31">
        <f>24150</f>
        <v>24150</v>
      </c>
      <c r="R133" s="32" t="s">
        <v>934</v>
      </c>
      <c r="S133" s="33">
        <f>23229.09</f>
        <v>23229.09</v>
      </c>
      <c r="T133" s="30">
        <f>4593</f>
        <v>4593</v>
      </c>
      <c r="U133" s="30" t="str">
        <f>"－"</f>
        <v>－</v>
      </c>
      <c r="V133" s="30">
        <f>107434135</f>
        <v>107434135</v>
      </c>
      <c r="W133" s="30" t="str">
        <f>"－"</f>
        <v>－</v>
      </c>
      <c r="X133" s="34">
        <f>22</f>
        <v>22</v>
      </c>
    </row>
    <row r="134" spans="1:24" x14ac:dyDescent="0.15">
      <c r="A134" s="25" t="s">
        <v>979</v>
      </c>
      <c r="B134" s="25" t="s">
        <v>436</v>
      </c>
      <c r="C134" s="25" t="s">
        <v>437</v>
      </c>
      <c r="D134" s="25" t="s">
        <v>438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23865</f>
        <v>23865</v>
      </c>
      <c r="L134" s="32" t="s">
        <v>904</v>
      </c>
      <c r="M134" s="31">
        <f>25330</f>
        <v>25330</v>
      </c>
      <c r="N134" s="32" t="s">
        <v>911</v>
      </c>
      <c r="O134" s="31">
        <f>23075</f>
        <v>23075</v>
      </c>
      <c r="P134" s="32" t="s">
        <v>819</v>
      </c>
      <c r="Q134" s="31">
        <f>23725</f>
        <v>23725</v>
      </c>
      <c r="R134" s="32" t="s">
        <v>934</v>
      </c>
      <c r="S134" s="33">
        <f>24158.18</f>
        <v>24158.18</v>
      </c>
      <c r="T134" s="30">
        <f>6131</f>
        <v>6131</v>
      </c>
      <c r="U134" s="30" t="str">
        <f>"－"</f>
        <v>－</v>
      </c>
      <c r="V134" s="30">
        <f>148476400</f>
        <v>148476400</v>
      </c>
      <c r="W134" s="30" t="str">
        <f>"－"</f>
        <v>－</v>
      </c>
      <c r="X134" s="34">
        <f>22</f>
        <v>22</v>
      </c>
    </row>
    <row r="135" spans="1:24" x14ac:dyDescent="0.15">
      <c r="A135" s="25" t="s">
        <v>979</v>
      </c>
      <c r="B135" s="25" t="s">
        <v>439</v>
      </c>
      <c r="C135" s="25" t="s">
        <v>440</v>
      </c>
      <c r="D135" s="25" t="s">
        <v>441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17725</f>
        <v>17725</v>
      </c>
      <c r="L135" s="32" t="s">
        <v>904</v>
      </c>
      <c r="M135" s="31">
        <f>18400</f>
        <v>18400</v>
      </c>
      <c r="N135" s="32" t="s">
        <v>912</v>
      </c>
      <c r="O135" s="31">
        <f>15960</f>
        <v>15960</v>
      </c>
      <c r="P135" s="32" t="s">
        <v>820</v>
      </c>
      <c r="Q135" s="31">
        <f>16320</f>
        <v>16320</v>
      </c>
      <c r="R135" s="32" t="s">
        <v>934</v>
      </c>
      <c r="S135" s="33">
        <f>17158.86</f>
        <v>17158.86</v>
      </c>
      <c r="T135" s="30">
        <f>7001</f>
        <v>7001</v>
      </c>
      <c r="U135" s="30">
        <f>3001</f>
        <v>3001</v>
      </c>
      <c r="V135" s="30">
        <f>120774695</f>
        <v>120774695</v>
      </c>
      <c r="W135" s="30">
        <f>51627235</f>
        <v>51627235</v>
      </c>
      <c r="X135" s="34">
        <f>22</f>
        <v>22</v>
      </c>
    </row>
    <row r="136" spans="1:24" x14ac:dyDescent="0.15">
      <c r="A136" s="25" t="s">
        <v>979</v>
      </c>
      <c r="B136" s="25" t="s">
        <v>442</v>
      </c>
      <c r="C136" s="25" t="s">
        <v>443</v>
      </c>
      <c r="D136" s="25" t="s">
        <v>444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39240</f>
        <v>39240</v>
      </c>
      <c r="L136" s="32" t="s">
        <v>904</v>
      </c>
      <c r="M136" s="31">
        <f>42050</f>
        <v>42050</v>
      </c>
      <c r="N136" s="32" t="s">
        <v>911</v>
      </c>
      <c r="O136" s="31">
        <f>36350</f>
        <v>36350</v>
      </c>
      <c r="P136" s="32" t="s">
        <v>87</v>
      </c>
      <c r="Q136" s="31">
        <f>37660</f>
        <v>37660</v>
      </c>
      <c r="R136" s="32" t="s">
        <v>934</v>
      </c>
      <c r="S136" s="33">
        <f>38992.27</f>
        <v>38992.269999999997</v>
      </c>
      <c r="T136" s="30">
        <f>9278</f>
        <v>9278</v>
      </c>
      <c r="U136" s="30" t="str">
        <f>"－"</f>
        <v>－</v>
      </c>
      <c r="V136" s="30">
        <f>384872720</f>
        <v>384872720</v>
      </c>
      <c r="W136" s="30" t="str">
        <f>"－"</f>
        <v>－</v>
      </c>
      <c r="X136" s="34">
        <f>22</f>
        <v>22</v>
      </c>
    </row>
    <row r="137" spans="1:24" x14ac:dyDescent="0.15">
      <c r="A137" s="25" t="s">
        <v>979</v>
      </c>
      <c r="B137" s="25" t="s">
        <v>445</v>
      </c>
      <c r="C137" s="25" t="s">
        <v>446</v>
      </c>
      <c r="D137" s="25" t="s">
        <v>447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28065</f>
        <v>28065</v>
      </c>
      <c r="L137" s="32" t="s">
        <v>904</v>
      </c>
      <c r="M137" s="31">
        <f>28850</f>
        <v>28850</v>
      </c>
      <c r="N137" s="32" t="s">
        <v>912</v>
      </c>
      <c r="O137" s="31">
        <f>25430</f>
        <v>25430</v>
      </c>
      <c r="P137" s="32" t="s">
        <v>87</v>
      </c>
      <c r="Q137" s="31">
        <f>25890</f>
        <v>25890</v>
      </c>
      <c r="R137" s="32" t="s">
        <v>934</v>
      </c>
      <c r="S137" s="33">
        <f>27124.55</f>
        <v>27124.55</v>
      </c>
      <c r="T137" s="30">
        <f>3139</f>
        <v>3139</v>
      </c>
      <c r="U137" s="30" t="str">
        <f>"－"</f>
        <v>－</v>
      </c>
      <c r="V137" s="30">
        <f>84581775</f>
        <v>84581775</v>
      </c>
      <c r="W137" s="30" t="str">
        <f>"－"</f>
        <v>－</v>
      </c>
      <c r="X137" s="34">
        <f>22</f>
        <v>22</v>
      </c>
    </row>
    <row r="138" spans="1:24" x14ac:dyDescent="0.15">
      <c r="A138" s="25" t="s">
        <v>979</v>
      </c>
      <c r="B138" s="25" t="s">
        <v>448</v>
      </c>
      <c r="C138" s="25" t="s">
        <v>449</v>
      </c>
      <c r="D138" s="25" t="s">
        <v>450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28330</f>
        <v>28330</v>
      </c>
      <c r="L138" s="32" t="s">
        <v>904</v>
      </c>
      <c r="M138" s="31">
        <f>28600</f>
        <v>28600</v>
      </c>
      <c r="N138" s="32" t="s">
        <v>911</v>
      </c>
      <c r="O138" s="31">
        <f>26180</f>
        <v>26180</v>
      </c>
      <c r="P138" s="32" t="s">
        <v>819</v>
      </c>
      <c r="Q138" s="31">
        <f>27440</f>
        <v>27440</v>
      </c>
      <c r="R138" s="32" t="s">
        <v>934</v>
      </c>
      <c r="S138" s="33">
        <f>27520.68</f>
        <v>27520.68</v>
      </c>
      <c r="T138" s="30">
        <f>2213</f>
        <v>2213</v>
      </c>
      <c r="U138" s="30" t="str">
        <f>"－"</f>
        <v>－</v>
      </c>
      <c r="V138" s="30">
        <f>59836575</f>
        <v>59836575</v>
      </c>
      <c r="W138" s="30" t="str">
        <f>"－"</f>
        <v>－</v>
      </c>
      <c r="X138" s="34">
        <f>22</f>
        <v>22</v>
      </c>
    </row>
    <row r="139" spans="1:24" x14ac:dyDescent="0.15">
      <c r="A139" s="25" t="s">
        <v>979</v>
      </c>
      <c r="B139" s="25" t="s">
        <v>451</v>
      </c>
      <c r="C139" s="25" t="s">
        <v>452</v>
      </c>
      <c r="D139" s="25" t="s">
        <v>453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6275</f>
        <v>6275</v>
      </c>
      <c r="L139" s="32" t="s">
        <v>904</v>
      </c>
      <c r="M139" s="31">
        <f>6847</f>
        <v>6847</v>
      </c>
      <c r="N139" s="32" t="s">
        <v>934</v>
      </c>
      <c r="O139" s="31">
        <f>6200</f>
        <v>6200</v>
      </c>
      <c r="P139" s="32" t="s">
        <v>87</v>
      </c>
      <c r="Q139" s="31">
        <f>6800</f>
        <v>6800</v>
      </c>
      <c r="R139" s="32" t="s">
        <v>934</v>
      </c>
      <c r="S139" s="33">
        <f>6437.95</f>
        <v>6437.95</v>
      </c>
      <c r="T139" s="30">
        <f>29414</f>
        <v>29414</v>
      </c>
      <c r="U139" s="30">
        <f>2</f>
        <v>2</v>
      </c>
      <c r="V139" s="30">
        <f>190932332</f>
        <v>190932332</v>
      </c>
      <c r="W139" s="30">
        <f>12794</f>
        <v>12794</v>
      </c>
      <c r="X139" s="34">
        <f>22</f>
        <v>22</v>
      </c>
    </row>
    <row r="140" spans="1:24" x14ac:dyDescent="0.15">
      <c r="A140" s="25" t="s">
        <v>979</v>
      </c>
      <c r="B140" s="25" t="s">
        <v>454</v>
      </c>
      <c r="C140" s="25" t="s">
        <v>455</v>
      </c>
      <c r="D140" s="25" t="s">
        <v>456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15355</f>
        <v>15355</v>
      </c>
      <c r="L140" s="32" t="s">
        <v>904</v>
      </c>
      <c r="M140" s="31">
        <f>15950</f>
        <v>15950</v>
      </c>
      <c r="N140" s="32" t="s">
        <v>912</v>
      </c>
      <c r="O140" s="31">
        <f>14775</f>
        <v>14775</v>
      </c>
      <c r="P140" s="32" t="s">
        <v>819</v>
      </c>
      <c r="Q140" s="31">
        <f>15450</f>
        <v>15450</v>
      </c>
      <c r="R140" s="32" t="s">
        <v>934</v>
      </c>
      <c r="S140" s="33">
        <f>15413.41</f>
        <v>15413.41</v>
      </c>
      <c r="T140" s="30">
        <f>17774</f>
        <v>17774</v>
      </c>
      <c r="U140" s="30">
        <f>6000</f>
        <v>6000</v>
      </c>
      <c r="V140" s="30">
        <f>276624240</f>
        <v>276624240</v>
      </c>
      <c r="W140" s="30">
        <f>94962000</f>
        <v>94962000</v>
      </c>
      <c r="X140" s="34">
        <f>22</f>
        <v>22</v>
      </c>
    </row>
    <row r="141" spans="1:24" x14ac:dyDescent="0.15">
      <c r="A141" s="25" t="s">
        <v>979</v>
      </c>
      <c r="B141" s="25" t="s">
        <v>457</v>
      </c>
      <c r="C141" s="25" t="s">
        <v>458</v>
      </c>
      <c r="D141" s="25" t="s">
        <v>459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45640</f>
        <v>45640</v>
      </c>
      <c r="L141" s="32" t="s">
        <v>904</v>
      </c>
      <c r="M141" s="31">
        <f>48570</f>
        <v>48570</v>
      </c>
      <c r="N141" s="32" t="s">
        <v>911</v>
      </c>
      <c r="O141" s="31">
        <f>42330</f>
        <v>42330</v>
      </c>
      <c r="P141" s="32" t="s">
        <v>820</v>
      </c>
      <c r="Q141" s="31">
        <f>43660</f>
        <v>43660</v>
      </c>
      <c r="R141" s="32" t="s">
        <v>934</v>
      </c>
      <c r="S141" s="33">
        <f>45295.45</f>
        <v>45295.45</v>
      </c>
      <c r="T141" s="30">
        <f>8705</f>
        <v>8705</v>
      </c>
      <c r="U141" s="30">
        <f>1100</f>
        <v>1100</v>
      </c>
      <c r="V141" s="30">
        <f>395237610</f>
        <v>395237610</v>
      </c>
      <c r="W141" s="30">
        <f>51544900</f>
        <v>51544900</v>
      </c>
      <c r="X141" s="34">
        <f>22</f>
        <v>22</v>
      </c>
    </row>
    <row r="142" spans="1:24" x14ac:dyDescent="0.15">
      <c r="A142" s="25" t="s">
        <v>979</v>
      </c>
      <c r="B142" s="25" t="s">
        <v>460</v>
      </c>
      <c r="C142" s="25" t="s">
        <v>461</v>
      </c>
      <c r="D142" s="25" t="s">
        <v>462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20590</f>
        <v>20590</v>
      </c>
      <c r="L142" s="32" t="s">
        <v>904</v>
      </c>
      <c r="M142" s="31">
        <f>21290</f>
        <v>21290</v>
      </c>
      <c r="N142" s="32" t="s">
        <v>934</v>
      </c>
      <c r="O142" s="31">
        <f>19820</f>
        <v>19820</v>
      </c>
      <c r="P142" s="32" t="s">
        <v>819</v>
      </c>
      <c r="Q142" s="31">
        <f>21190</f>
        <v>21190</v>
      </c>
      <c r="R142" s="32" t="s">
        <v>934</v>
      </c>
      <c r="S142" s="33">
        <f>20743.64</f>
        <v>20743.64</v>
      </c>
      <c r="T142" s="30">
        <f>1470</f>
        <v>1470</v>
      </c>
      <c r="U142" s="30" t="str">
        <f>"－"</f>
        <v>－</v>
      </c>
      <c r="V142" s="30">
        <f>30076095</f>
        <v>30076095</v>
      </c>
      <c r="W142" s="30" t="str">
        <f>"－"</f>
        <v>－</v>
      </c>
      <c r="X142" s="34">
        <f>22</f>
        <v>22</v>
      </c>
    </row>
    <row r="143" spans="1:24" x14ac:dyDescent="0.15">
      <c r="A143" s="25" t="s">
        <v>979</v>
      </c>
      <c r="B143" s="25" t="s">
        <v>463</v>
      </c>
      <c r="C143" s="25" t="s">
        <v>464</v>
      </c>
      <c r="D143" s="25" t="s">
        <v>465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8675</f>
        <v>8675</v>
      </c>
      <c r="L143" s="32" t="s">
        <v>904</v>
      </c>
      <c r="M143" s="31">
        <f>9010</f>
        <v>9010</v>
      </c>
      <c r="N143" s="32" t="s">
        <v>935</v>
      </c>
      <c r="O143" s="31">
        <f>8675</f>
        <v>8675</v>
      </c>
      <c r="P143" s="32" t="s">
        <v>904</v>
      </c>
      <c r="Q143" s="31">
        <f>8900</f>
        <v>8900</v>
      </c>
      <c r="R143" s="32" t="s">
        <v>934</v>
      </c>
      <c r="S143" s="33">
        <f>8851.68</f>
        <v>8851.68</v>
      </c>
      <c r="T143" s="30">
        <f>8261</f>
        <v>8261</v>
      </c>
      <c r="U143" s="30" t="str">
        <f>"－"</f>
        <v>－</v>
      </c>
      <c r="V143" s="30">
        <f>72856992</f>
        <v>72856992</v>
      </c>
      <c r="W143" s="30" t="str">
        <f>"－"</f>
        <v>－</v>
      </c>
      <c r="X143" s="34">
        <f>22</f>
        <v>22</v>
      </c>
    </row>
    <row r="144" spans="1:24" x14ac:dyDescent="0.15">
      <c r="A144" s="25" t="s">
        <v>979</v>
      </c>
      <c r="B144" s="25" t="s">
        <v>466</v>
      </c>
      <c r="C144" s="25" t="s">
        <v>467</v>
      </c>
      <c r="D144" s="25" t="s">
        <v>468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15160</f>
        <v>15160</v>
      </c>
      <c r="L144" s="32" t="s">
        <v>904</v>
      </c>
      <c r="M144" s="31">
        <f>15450</f>
        <v>15450</v>
      </c>
      <c r="N144" s="32" t="s">
        <v>907</v>
      </c>
      <c r="O144" s="31">
        <f>14550</f>
        <v>14550</v>
      </c>
      <c r="P144" s="32" t="s">
        <v>87</v>
      </c>
      <c r="Q144" s="31">
        <f>15020</f>
        <v>15020</v>
      </c>
      <c r="R144" s="32" t="s">
        <v>934</v>
      </c>
      <c r="S144" s="33">
        <f>15120.23</f>
        <v>15120.23</v>
      </c>
      <c r="T144" s="30">
        <f>7146</f>
        <v>7146</v>
      </c>
      <c r="U144" s="30">
        <f>3500</f>
        <v>3500</v>
      </c>
      <c r="V144" s="30">
        <f>106886965</f>
        <v>106886965</v>
      </c>
      <c r="W144" s="30">
        <f>52328500</f>
        <v>52328500</v>
      </c>
      <c r="X144" s="34">
        <f>22</f>
        <v>22</v>
      </c>
    </row>
    <row r="145" spans="1:24" x14ac:dyDescent="0.15">
      <c r="A145" s="25" t="s">
        <v>979</v>
      </c>
      <c r="B145" s="25" t="s">
        <v>469</v>
      </c>
      <c r="C145" s="25" t="s">
        <v>470</v>
      </c>
      <c r="D145" s="25" t="s">
        <v>471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30540</f>
        <v>30540</v>
      </c>
      <c r="L145" s="32" t="s">
        <v>904</v>
      </c>
      <c r="M145" s="31">
        <f>31700</f>
        <v>31700</v>
      </c>
      <c r="N145" s="32" t="s">
        <v>936</v>
      </c>
      <c r="O145" s="31">
        <f>29780</f>
        <v>29780</v>
      </c>
      <c r="P145" s="32" t="s">
        <v>819</v>
      </c>
      <c r="Q145" s="31">
        <f>31030</f>
        <v>31030</v>
      </c>
      <c r="R145" s="32" t="s">
        <v>934</v>
      </c>
      <c r="S145" s="33">
        <f>30798.64</f>
        <v>30798.639999999999</v>
      </c>
      <c r="T145" s="30">
        <f>1754</f>
        <v>1754</v>
      </c>
      <c r="U145" s="30" t="str">
        <f>"－"</f>
        <v>－</v>
      </c>
      <c r="V145" s="30">
        <f>54289355</f>
        <v>54289355</v>
      </c>
      <c r="W145" s="30" t="str">
        <f>"－"</f>
        <v>－</v>
      </c>
      <c r="X145" s="34">
        <f>22</f>
        <v>22</v>
      </c>
    </row>
    <row r="146" spans="1:24" x14ac:dyDescent="0.15">
      <c r="A146" s="25" t="s">
        <v>979</v>
      </c>
      <c r="B146" s="25" t="s">
        <v>472</v>
      </c>
      <c r="C146" s="25" t="s">
        <v>473</v>
      </c>
      <c r="D146" s="25" t="s">
        <v>474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1219</f>
        <v>1219</v>
      </c>
      <c r="L146" s="32" t="s">
        <v>904</v>
      </c>
      <c r="M146" s="31">
        <f>1258.5</f>
        <v>1258.5</v>
      </c>
      <c r="N146" s="32" t="s">
        <v>905</v>
      </c>
      <c r="O146" s="31">
        <f>1187.5</f>
        <v>1187.5</v>
      </c>
      <c r="P146" s="32" t="s">
        <v>87</v>
      </c>
      <c r="Q146" s="31">
        <f>1207</f>
        <v>1207</v>
      </c>
      <c r="R146" s="32" t="s">
        <v>934</v>
      </c>
      <c r="S146" s="33">
        <f>1224.39</f>
        <v>1224.3900000000001</v>
      </c>
      <c r="T146" s="30">
        <f>1580000</f>
        <v>1580000</v>
      </c>
      <c r="U146" s="30">
        <f>467900</f>
        <v>467900</v>
      </c>
      <c r="V146" s="30">
        <f>1927520930</f>
        <v>1927520930</v>
      </c>
      <c r="W146" s="30">
        <f>575231380</f>
        <v>575231380</v>
      </c>
      <c r="X146" s="34">
        <f>22</f>
        <v>22</v>
      </c>
    </row>
    <row r="147" spans="1:24" x14ac:dyDescent="0.15">
      <c r="A147" s="25" t="s">
        <v>979</v>
      </c>
      <c r="B147" s="25" t="s">
        <v>475</v>
      </c>
      <c r="C147" s="25" t="s">
        <v>476</v>
      </c>
      <c r="D147" s="25" t="s">
        <v>477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2349</f>
        <v>2349</v>
      </c>
      <c r="L147" s="32" t="s">
        <v>904</v>
      </c>
      <c r="M147" s="31">
        <f>2399</f>
        <v>2399</v>
      </c>
      <c r="N147" s="32" t="s">
        <v>911</v>
      </c>
      <c r="O147" s="31">
        <f>2197.5</f>
        <v>2197.5</v>
      </c>
      <c r="P147" s="32" t="s">
        <v>819</v>
      </c>
      <c r="Q147" s="31">
        <f>2270</f>
        <v>2270</v>
      </c>
      <c r="R147" s="32" t="s">
        <v>934</v>
      </c>
      <c r="S147" s="33">
        <f>2300.27</f>
        <v>2300.27</v>
      </c>
      <c r="T147" s="30">
        <f>430</f>
        <v>430</v>
      </c>
      <c r="U147" s="30" t="str">
        <f>"－"</f>
        <v>－</v>
      </c>
      <c r="V147" s="30">
        <f>992475</f>
        <v>992475</v>
      </c>
      <c r="W147" s="30" t="str">
        <f>"－"</f>
        <v>－</v>
      </c>
      <c r="X147" s="34">
        <f>11</f>
        <v>11</v>
      </c>
    </row>
    <row r="148" spans="1:24" x14ac:dyDescent="0.15">
      <c r="A148" s="25" t="s">
        <v>979</v>
      </c>
      <c r="B148" s="25" t="s">
        <v>478</v>
      </c>
      <c r="C148" s="25" t="s">
        <v>479</v>
      </c>
      <c r="D148" s="25" t="s">
        <v>480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2520</f>
        <v>2520</v>
      </c>
      <c r="L148" s="32" t="s">
        <v>904</v>
      </c>
      <c r="M148" s="31">
        <f>2573</f>
        <v>2573</v>
      </c>
      <c r="N148" s="32" t="s">
        <v>911</v>
      </c>
      <c r="O148" s="31">
        <f>2361</f>
        <v>2361</v>
      </c>
      <c r="P148" s="32" t="s">
        <v>87</v>
      </c>
      <c r="Q148" s="31">
        <f>2427</f>
        <v>2427</v>
      </c>
      <c r="R148" s="32" t="s">
        <v>934</v>
      </c>
      <c r="S148" s="33">
        <f>2470.67</f>
        <v>2470.67</v>
      </c>
      <c r="T148" s="30">
        <f>169070</f>
        <v>169070</v>
      </c>
      <c r="U148" s="30" t="str">
        <f>"－"</f>
        <v>－</v>
      </c>
      <c r="V148" s="30">
        <f>413607750</f>
        <v>413607750</v>
      </c>
      <c r="W148" s="30" t="str">
        <f>"－"</f>
        <v>－</v>
      </c>
      <c r="X148" s="34">
        <f>15</f>
        <v>15</v>
      </c>
    </row>
    <row r="149" spans="1:24" x14ac:dyDescent="0.15">
      <c r="A149" s="25" t="s">
        <v>979</v>
      </c>
      <c r="B149" s="25" t="s">
        <v>481</v>
      </c>
      <c r="C149" s="25" t="s">
        <v>482</v>
      </c>
      <c r="D149" s="25" t="s">
        <v>483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1554.5</f>
        <v>1554.5</v>
      </c>
      <c r="L149" s="32" t="s">
        <v>909</v>
      </c>
      <c r="M149" s="31">
        <f>1593</f>
        <v>1593</v>
      </c>
      <c r="N149" s="32" t="s">
        <v>911</v>
      </c>
      <c r="O149" s="31">
        <f>1484.5</f>
        <v>1484.5</v>
      </c>
      <c r="P149" s="32" t="s">
        <v>819</v>
      </c>
      <c r="Q149" s="31">
        <f>1511.5</f>
        <v>1511.5</v>
      </c>
      <c r="R149" s="32" t="s">
        <v>934</v>
      </c>
      <c r="S149" s="33">
        <f>1530.69</f>
        <v>1530.69</v>
      </c>
      <c r="T149" s="30">
        <f>49390</f>
        <v>49390</v>
      </c>
      <c r="U149" s="30">
        <f>14000</f>
        <v>14000</v>
      </c>
      <c r="V149" s="30">
        <f>74696266</f>
        <v>74696266</v>
      </c>
      <c r="W149" s="30">
        <f>21223521</f>
        <v>21223521</v>
      </c>
      <c r="X149" s="34">
        <f>13</f>
        <v>13</v>
      </c>
    </row>
    <row r="150" spans="1:24" x14ac:dyDescent="0.15">
      <c r="A150" s="25" t="s">
        <v>979</v>
      </c>
      <c r="B150" s="25" t="s">
        <v>484</v>
      </c>
      <c r="C150" s="25" t="s">
        <v>485</v>
      </c>
      <c r="D150" s="25" t="s">
        <v>486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384.6</f>
        <v>384.6</v>
      </c>
      <c r="L150" s="32" t="s">
        <v>904</v>
      </c>
      <c r="M150" s="31">
        <f>399.4</f>
        <v>399.4</v>
      </c>
      <c r="N150" s="32" t="s">
        <v>911</v>
      </c>
      <c r="O150" s="31">
        <f>349.4</f>
        <v>349.4</v>
      </c>
      <c r="P150" s="32" t="s">
        <v>819</v>
      </c>
      <c r="Q150" s="31">
        <f>372.6</f>
        <v>372.6</v>
      </c>
      <c r="R150" s="32" t="s">
        <v>934</v>
      </c>
      <c r="S150" s="33">
        <f>376.5</f>
        <v>376.5</v>
      </c>
      <c r="T150" s="30">
        <f>89173550</f>
        <v>89173550</v>
      </c>
      <c r="U150" s="30">
        <f>12745340</f>
        <v>12745340</v>
      </c>
      <c r="V150" s="30">
        <f>33377018339</f>
        <v>33377018339</v>
      </c>
      <c r="W150" s="30">
        <f>4773091093</f>
        <v>4773091093</v>
      </c>
      <c r="X150" s="34">
        <f>22</f>
        <v>22</v>
      </c>
    </row>
    <row r="151" spans="1:24" x14ac:dyDescent="0.15">
      <c r="A151" s="25" t="s">
        <v>979</v>
      </c>
      <c r="B151" s="25" t="s">
        <v>487</v>
      </c>
      <c r="C151" s="25" t="s">
        <v>488</v>
      </c>
      <c r="D151" s="25" t="s">
        <v>489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2732</f>
        <v>2732</v>
      </c>
      <c r="L151" s="32" t="s">
        <v>904</v>
      </c>
      <c r="M151" s="31">
        <f>2862</f>
        <v>2862</v>
      </c>
      <c r="N151" s="32" t="s">
        <v>934</v>
      </c>
      <c r="O151" s="31">
        <f>2725</f>
        <v>2725</v>
      </c>
      <c r="P151" s="32" t="s">
        <v>819</v>
      </c>
      <c r="Q151" s="31">
        <f>2852</f>
        <v>2852</v>
      </c>
      <c r="R151" s="32" t="s">
        <v>934</v>
      </c>
      <c r="S151" s="33">
        <f>2786.5</f>
        <v>2786.5</v>
      </c>
      <c r="T151" s="30">
        <f>2618553</f>
        <v>2618553</v>
      </c>
      <c r="U151" s="30">
        <f>1677860</f>
        <v>1677860</v>
      </c>
      <c r="V151" s="30">
        <f>7223312610</f>
        <v>7223312610</v>
      </c>
      <c r="W151" s="30">
        <f>4622349300</f>
        <v>4622349300</v>
      </c>
      <c r="X151" s="34">
        <f>22</f>
        <v>22</v>
      </c>
    </row>
    <row r="152" spans="1:24" x14ac:dyDescent="0.15">
      <c r="A152" s="25" t="s">
        <v>979</v>
      </c>
      <c r="B152" s="25" t="s">
        <v>490</v>
      </c>
      <c r="C152" s="25" t="s">
        <v>491</v>
      </c>
      <c r="D152" s="25" t="s">
        <v>492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3370</f>
        <v>3370</v>
      </c>
      <c r="L152" s="32" t="s">
        <v>904</v>
      </c>
      <c r="M152" s="31">
        <f>3490</f>
        <v>3490</v>
      </c>
      <c r="N152" s="32" t="s">
        <v>912</v>
      </c>
      <c r="O152" s="31">
        <f>3085</f>
        <v>3085</v>
      </c>
      <c r="P152" s="32" t="s">
        <v>819</v>
      </c>
      <c r="Q152" s="31">
        <f>3250</f>
        <v>3250</v>
      </c>
      <c r="R152" s="32" t="s">
        <v>934</v>
      </c>
      <c r="S152" s="33">
        <f>3292.95</f>
        <v>3292.95</v>
      </c>
      <c r="T152" s="30">
        <f>104607</f>
        <v>104607</v>
      </c>
      <c r="U152" s="30">
        <f>61734</f>
        <v>61734</v>
      </c>
      <c r="V152" s="30">
        <f>345544083</f>
        <v>345544083</v>
      </c>
      <c r="W152" s="30">
        <f>205259333</f>
        <v>205259333</v>
      </c>
      <c r="X152" s="34">
        <f>22</f>
        <v>22</v>
      </c>
    </row>
    <row r="153" spans="1:24" x14ac:dyDescent="0.15">
      <c r="A153" s="25" t="s">
        <v>979</v>
      </c>
      <c r="B153" s="25" t="s">
        <v>493</v>
      </c>
      <c r="C153" s="25" t="s">
        <v>494</v>
      </c>
      <c r="D153" s="25" t="s">
        <v>495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2278</f>
        <v>2278</v>
      </c>
      <c r="L153" s="32" t="s">
        <v>904</v>
      </c>
      <c r="M153" s="31">
        <f>2377</f>
        <v>2377</v>
      </c>
      <c r="N153" s="32" t="s">
        <v>911</v>
      </c>
      <c r="O153" s="31">
        <f>2165</f>
        <v>2165</v>
      </c>
      <c r="P153" s="32" t="s">
        <v>819</v>
      </c>
      <c r="Q153" s="31">
        <f>2262</f>
        <v>2262</v>
      </c>
      <c r="R153" s="32" t="s">
        <v>934</v>
      </c>
      <c r="S153" s="33">
        <f>2274.82</f>
        <v>2274.8200000000002</v>
      </c>
      <c r="T153" s="30">
        <f>125796</f>
        <v>125796</v>
      </c>
      <c r="U153" s="30">
        <f>2</f>
        <v>2</v>
      </c>
      <c r="V153" s="30">
        <f>289797550</f>
        <v>289797550</v>
      </c>
      <c r="W153" s="30">
        <f>4561</f>
        <v>4561</v>
      </c>
      <c r="X153" s="34">
        <f>22</f>
        <v>22</v>
      </c>
    </row>
    <row r="154" spans="1:24" x14ac:dyDescent="0.15">
      <c r="A154" s="25" t="s">
        <v>979</v>
      </c>
      <c r="B154" s="25" t="s">
        <v>496</v>
      </c>
      <c r="C154" s="25" t="s">
        <v>497</v>
      </c>
      <c r="D154" s="25" t="s">
        <v>498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2780</f>
        <v>2780</v>
      </c>
      <c r="L154" s="32" t="s">
        <v>904</v>
      </c>
      <c r="M154" s="31">
        <f>2855</f>
        <v>2855</v>
      </c>
      <c r="N154" s="32" t="s">
        <v>912</v>
      </c>
      <c r="O154" s="31">
        <f>2512</f>
        <v>2512</v>
      </c>
      <c r="P154" s="32" t="s">
        <v>819</v>
      </c>
      <c r="Q154" s="31">
        <f>2697</f>
        <v>2697</v>
      </c>
      <c r="R154" s="32" t="s">
        <v>934</v>
      </c>
      <c r="S154" s="33">
        <f>2693.86</f>
        <v>2693.86</v>
      </c>
      <c r="T154" s="30">
        <f>256121</f>
        <v>256121</v>
      </c>
      <c r="U154" s="30" t="str">
        <f>"－"</f>
        <v>－</v>
      </c>
      <c r="V154" s="30">
        <f>690835908</f>
        <v>690835908</v>
      </c>
      <c r="W154" s="30" t="str">
        <f>"－"</f>
        <v>－</v>
      </c>
      <c r="X154" s="34">
        <f>22</f>
        <v>22</v>
      </c>
    </row>
    <row r="155" spans="1:24" x14ac:dyDescent="0.15">
      <c r="A155" s="25" t="s">
        <v>979</v>
      </c>
      <c r="B155" s="25" t="s">
        <v>499</v>
      </c>
      <c r="C155" s="25" t="s">
        <v>500</v>
      </c>
      <c r="D155" s="25" t="s">
        <v>501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11345</f>
        <v>11345</v>
      </c>
      <c r="L155" s="32" t="s">
        <v>904</v>
      </c>
      <c r="M155" s="31">
        <f>11420</f>
        <v>11420</v>
      </c>
      <c r="N155" s="32" t="s">
        <v>911</v>
      </c>
      <c r="O155" s="31">
        <f>10650</f>
        <v>10650</v>
      </c>
      <c r="P155" s="32" t="s">
        <v>915</v>
      </c>
      <c r="Q155" s="31">
        <f>11185</f>
        <v>11185</v>
      </c>
      <c r="R155" s="32" t="s">
        <v>934</v>
      </c>
      <c r="S155" s="33">
        <f>11106.59</f>
        <v>11106.59</v>
      </c>
      <c r="T155" s="30">
        <f>109521</f>
        <v>109521</v>
      </c>
      <c r="U155" s="30">
        <f>37854</f>
        <v>37854</v>
      </c>
      <c r="V155" s="30">
        <f>1201396198</f>
        <v>1201396198</v>
      </c>
      <c r="W155" s="30">
        <f>409074018</f>
        <v>409074018</v>
      </c>
      <c r="X155" s="34">
        <f>22</f>
        <v>22</v>
      </c>
    </row>
    <row r="156" spans="1:24" x14ac:dyDescent="0.15">
      <c r="A156" s="25" t="s">
        <v>979</v>
      </c>
      <c r="B156" s="25" t="s">
        <v>502</v>
      </c>
      <c r="C156" s="25" t="s">
        <v>503</v>
      </c>
      <c r="D156" s="25" t="s">
        <v>504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3200</f>
        <v>3200</v>
      </c>
      <c r="L156" s="32" t="s">
        <v>904</v>
      </c>
      <c r="M156" s="31">
        <f>3570</f>
        <v>3570</v>
      </c>
      <c r="N156" s="32" t="s">
        <v>911</v>
      </c>
      <c r="O156" s="31">
        <f>3060</f>
        <v>3060</v>
      </c>
      <c r="P156" s="32" t="s">
        <v>935</v>
      </c>
      <c r="Q156" s="31">
        <f>3290</f>
        <v>3290</v>
      </c>
      <c r="R156" s="32" t="s">
        <v>934</v>
      </c>
      <c r="S156" s="33">
        <f>3325.45</f>
        <v>3325.45</v>
      </c>
      <c r="T156" s="30">
        <f>14311554</f>
        <v>14311554</v>
      </c>
      <c r="U156" s="30">
        <f>6979</f>
        <v>6979</v>
      </c>
      <c r="V156" s="30">
        <f>47459655392</f>
        <v>47459655392</v>
      </c>
      <c r="W156" s="30">
        <f>23181097</f>
        <v>23181097</v>
      </c>
      <c r="X156" s="34">
        <f>22</f>
        <v>22</v>
      </c>
    </row>
    <row r="157" spans="1:24" x14ac:dyDescent="0.15">
      <c r="A157" s="25" t="s">
        <v>979</v>
      </c>
      <c r="B157" s="25" t="s">
        <v>505</v>
      </c>
      <c r="C157" s="25" t="s">
        <v>506</v>
      </c>
      <c r="D157" s="25" t="s">
        <v>507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22370</f>
        <v>22370</v>
      </c>
      <c r="L157" s="32" t="s">
        <v>904</v>
      </c>
      <c r="M157" s="31">
        <f>23870</f>
        <v>23870</v>
      </c>
      <c r="N157" s="32" t="s">
        <v>56</v>
      </c>
      <c r="O157" s="31">
        <f>22260</f>
        <v>22260</v>
      </c>
      <c r="P157" s="32" t="s">
        <v>904</v>
      </c>
      <c r="Q157" s="31">
        <f>23340</f>
        <v>23340</v>
      </c>
      <c r="R157" s="32" t="s">
        <v>934</v>
      </c>
      <c r="S157" s="33">
        <f>23178.41</f>
        <v>23178.41</v>
      </c>
      <c r="T157" s="30">
        <f>5128</f>
        <v>5128</v>
      </c>
      <c r="U157" s="30" t="str">
        <f>"－"</f>
        <v>－</v>
      </c>
      <c r="V157" s="30">
        <f>119495645</f>
        <v>119495645</v>
      </c>
      <c r="W157" s="30" t="str">
        <f>"－"</f>
        <v>－</v>
      </c>
      <c r="X157" s="34">
        <f>22</f>
        <v>22</v>
      </c>
    </row>
    <row r="158" spans="1:24" x14ac:dyDescent="0.15">
      <c r="A158" s="25" t="s">
        <v>979</v>
      </c>
      <c r="B158" s="25" t="s">
        <v>508</v>
      </c>
      <c r="C158" s="25" t="s">
        <v>509</v>
      </c>
      <c r="D158" s="25" t="s">
        <v>510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2597</f>
        <v>2597</v>
      </c>
      <c r="L158" s="32" t="s">
        <v>904</v>
      </c>
      <c r="M158" s="31">
        <f>2769.5</f>
        <v>2769.5</v>
      </c>
      <c r="N158" s="32" t="s">
        <v>56</v>
      </c>
      <c r="O158" s="31">
        <f>2571</f>
        <v>2571</v>
      </c>
      <c r="P158" s="32" t="s">
        <v>904</v>
      </c>
      <c r="Q158" s="31">
        <f>2621</f>
        <v>2621</v>
      </c>
      <c r="R158" s="32" t="s">
        <v>934</v>
      </c>
      <c r="S158" s="33">
        <f>2689.05</f>
        <v>2689.05</v>
      </c>
      <c r="T158" s="30">
        <f>30070</f>
        <v>30070</v>
      </c>
      <c r="U158" s="30" t="str">
        <f>"－"</f>
        <v>－</v>
      </c>
      <c r="V158" s="30">
        <f>80519450</f>
        <v>80519450</v>
      </c>
      <c r="W158" s="30" t="str">
        <f>"－"</f>
        <v>－</v>
      </c>
      <c r="X158" s="34">
        <f>21</f>
        <v>21</v>
      </c>
    </row>
    <row r="159" spans="1:24" x14ac:dyDescent="0.15">
      <c r="A159" s="25" t="s">
        <v>979</v>
      </c>
      <c r="B159" s="25" t="s">
        <v>511</v>
      </c>
      <c r="C159" s="25" t="s">
        <v>512</v>
      </c>
      <c r="D159" s="25" t="s">
        <v>513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11645</f>
        <v>11645</v>
      </c>
      <c r="L159" s="32" t="s">
        <v>904</v>
      </c>
      <c r="M159" s="31">
        <f>12610</f>
        <v>12610</v>
      </c>
      <c r="N159" s="32" t="s">
        <v>911</v>
      </c>
      <c r="O159" s="31">
        <f>11300</f>
        <v>11300</v>
      </c>
      <c r="P159" s="32" t="s">
        <v>94</v>
      </c>
      <c r="Q159" s="31">
        <f>11580</f>
        <v>11580</v>
      </c>
      <c r="R159" s="32" t="s">
        <v>934</v>
      </c>
      <c r="S159" s="33">
        <f>11906.59</f>
        <v>11906.59</v>
      </c>
      <c r="T159" s="30">
        <f>6306</f>
        <v>6306</v>
      </c>
      <c r="U159" s="30" t="str">
        <f>"－"</f>
        <v>－</v>
      </c>
      <c r="V159" s="30">
        <f>75955705</f>
        <v>75955705</v>
      </c>
      <c r="W159" s="30" t="str">
        <f>"－"</f>
        <v>－</v>
      </c>
      <c r="X159" s="34">
        <f>22</f>
        <v>22</v>
      </c>
    </row>
    <row r="160" spans="1:24" x14ac:dyDescent="0.15">
      <c r="A160" s="25" t="s">
        <v>979</v>
      </c>
      <c r="B160" s="25" t="s">
        <v>514</v>
      </c>
      <c r="C160" s="25" t="s">
        <v>515</v>
      </c>
      <c r="D160" s="25" t="s">
        <v>516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24300</f>
        <v>24300</v>
      </c>
      <c r="L160" s="32" t="s">
        <v>904</v>
      </c>
      <c r="M160" s="31">
        <f>24935</f>
        <v>24935</v>
      </c>
      <c r="N160" s="32" t="s">
        <v>907</v>
      </c>
      <c r="O160" s="31">
        <f>22065</f>
        <v>22065</v>
      </c>
      <c r="P160" s="32" t="s">
        <v>695</v>
      </c>
      <c r="Q160" s="31">
        <f>24800</f>
        <v>24800</v>
      </c>
      <c r="R160" s="32" t="s">
        <v>934</v>
      </c>
      <c r="S160" s="33">
        <f>23763.41</f>
        <v>23763.41</v>
      </c>
      <c r="T160" s="30">
        <f>4135</f>
        <v>4135</v>
      </c>
      <c r="U160" s="30" t="str">
        <f>"－"</f>
        <v>－</v>
      </c>
      <c r="V160" s="30">
        <f>98508050</f>
        <v>98508050</v>
      </c>
      <c r="W160" s="30" t="str">
        <f>"－"</f>
        <v>－</v>
      </c>
      <c r="X160" s="34">
        <f>22</f>
        <v>22</v>
      </c>
    </row>
    <row r="161" spans="1:24" x14ac:dyDescent="0.15">
      <c r="A161" s="25" t="s">
        <v>979</v>
      </c>
      <c r="B161" s="25" t="s">
        <v>517</v>
      </c>
      <c r="C161" s="25" t="s">
        <v>518</v>
      </c>
      <c r="D161" s="25" t="s">
        <v>519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17830</f>
        <v>17830</v>
      </c>
      <c r="L161" s="32" t="s">
        <v>904</v>
      </c>
      <c r="M161" s="31">
        <f>19820</f>
        <v>19820</v>
      </c>
      <c r="N161" s="32" t="s">
        <v>56</v>
      </c>
      <c r="O161" s="31">
        <f>17830</f>
        <v>17830</v>
      </c>
      <c r="P161" s="32" t="s">
        <v>904</v>
      </c>
      <c r="Q161" s="31">
        <f>18730</f>
        <v>18730</v>
      </c>
      <c r="R161" s="32" t="s">
        <v>934</v>
      </c>
      <c r="S161" s="33">
        <f>18608.95</f>
        <v>18608.95</v>
      </c>
      <c r="T161" s="30">
        <f>521</f>
        <v>521</v>
      </c>
      <c r="U161" s="30" t="str">
        <f>"－"</f>
        <v>－</v>
      </c>
      <c r="V161" s="30">
        <f>9889835</f>
        <v>9889835</v>
      </c>
      <c r="W161" s="30" t="str">
        <f>"－"</f>
        <v>－</v>
      </c>
      <c r="X161" s="34">
        <f>19</f>
        <v>19</v>
      </c>
    </row>
    <row r="162" spans="1:24" x14ac:dyDescent="0.15">
      <c r="A162" s="25" t="s">
        <v>979</v>
      </c>
      <c r="B162" s="25" t="s">
        <v>520</v>
      </c>
      <c r="C162" s="25" t="s">
        <v>521</v>
      </c>
      <c r="D162" s="25" t="s">
        <v>522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50940</f>
        <v>50940</v>
      </c>
      <c r="L162" s="32" t="s">
        <v>904</v>
      </c>
      <c r="M162" s="31">
        <f>52300</f>
        <v>52300</v>
      </c>
      <c r="N162" s="32" t="s">
        <v>911</v>
      </c>
      <c r="O162" s="31">
        <f>50160</f>
        <v>50160</v>
      </c>
      <c r="P162" s="32" t="s">
        <v>695</v>
      </c>
      <c r="Q162" s="31">
        <f>52300</f>
        <v>52300</v>
      </c>
      <c r="R162" s="32" t="s">
        <v>934</v>
      </c>
      <c r="S162" s="33">
        <f>51504.76</f>
        <v>51504.76</v>
      </c>
      <c r="T162" s="30">
        <f>5330</f>
        <v>5330</v>
      </c>
      <c r="U162" s="30">
        <f>1010</f>
        <v>1010</v>
      </c>
      <c r="V162" s="30">
        <f>274491290</f>
        <v>274491290</v>
      </c>
      <c r="W162" s="30">
        <f>51670390</f>
        <v>51670390</v>
      </c>
      <c r="X162" s="34">
        <f>21</f>
        <v>21</v>
      </c>
    </row>
    <row r="163" spans="1:24" x14ac:dyDescent="0.15">
      <c r="A163" s="25" t="s">
        <v>979</v>
      </c>
      <c r="B163" s="25" t="s">
        <v>523</v>
      </c>
      <c r="C163" s="25" t="s">
        <v>524</v>
      </c>
      <c r="D163" s="25" t="s">
        <v>525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240.5</f>
        <v>240.5</v>
      </c>
      <c r="L163" s="32" t="s">
        <v>904</v>
      </c>
      <c r="M163" s="31">
        <f>248</f>
        <v>248</v>
      </c>
      <c r="N163" s="32" t="s">
        <v>912</v>
      </c>
      <c r="O163" s="31">
        <f>228.2</f>
        <v>228.2</v>
      </c>
      <c r="P163" s="32" t="s">
        <v>819</v>
      </c>
      <c r="Q163" s="31">
        <f>239.6</f>
        <v>239.6</v>
      </c>
      <c r="R163" s="32" t="s">
        <v>934</v>
      </c>
      <c r="S163" s="33">
        <f>240.48</f>
        <v>240.48</v>
      </c>
      <c r="T163" s="30">
        <f>10054800</f>
        <v>10054800</v>
      </c>
      <c r="U163" s="30">
        <f>400</f>
        <v>400</v>
      </c>
      <c r="V163" s="30">
        <f>2414902860</f>
        <v>2414902860</v>
      </c>
      <c r="W163" s="30">
        <f>95840</f>
        <v>95840</v>
      </c>
      <c r="X163" s="34">
        <f>22</f>
        <v>22</v>
      </c>
    </row>
    <row r="164" spans="1:24" x14ac:dyDescent="0.15">
      <c r="A164" s="25" t="s">
        <v>979</v>
      </c>
      <c r="B164" s="25" t="s">
        <v>526</v>
      </c>
      <c r="C164" s="25" t="s">
        <v>527</v>
      </c>
      <c r="D164" s="25" t="s">
        <v>528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36880</f>
        <v>36880</v>
      </c>
      <c r="L164" s="32" t="s">
        <v>904</v>
      </c>
      <c r="M164" s="31">
        <f>38340</f>
        <v>38340</v>
      </c>
      <c r="N164" s="32" t="s">
        <v>911</v>
      </c>
      <c r="O164" s="31">
        <f>34600</f>
        <v>34600</v>
      </c>
      <c r="P164" s="32" t="s">
        <v>819</v>
      </c>
      <c r="Q164" s="31">
        <f>36480</f>
        <v>36480</v>
      </c>
      <c r="R164" s="32" t="s">
        <v>934</v>
      </c>
      <c r="S164" s="33">
        <f>36546.82</f>
        <v>36546.82</v>
      </c>
      <c r="T164" s="30">
        <f>68180</f>
        <v>68180</v>
      </c>
      <c r="U164" s="30">
        <f>57520</f>
        <v>57520</v>
      </c>
      <c r="V164" s="30">
        <f>2554506900</f>
        <v>2554506900</v>
      </c>
      <c r="W164" s="30">
        <f>2166485500</f>
        <v>2166485500</v>
      </c>
      <c r="X164" s="34">
        <f>22</f>
        <v>22</v>
      </c>
    </row>
    <row r="165" spans="1:24" x14ac:dyDescent="0.15">
      <c r="A165" s="25" t="s">
        <v>979</v>
      </c>
      <c r="B165" s="25" t="s">
        <v>529</v>
      </c>
      <c r="C165" s="25" t="s">
        <v>530</v>
      </c>
      <c r="D165" s="25" t="s">
        <v>531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3830</f>
        <v>3830</v>
      </c>
      <c r="L165" s="32" t="s">
        <v>904</v>
      </c>
      <c r="M165" s="31">
        <f>3971</f>
        <v>3971</v>
      </c>
      <c r="N165" s="32" t="s">
        <v>911</v>
      </c>
      <c r="O165" s="31">
        <f>3518</f>
        <v>3518</v>
      </c>
      <c r="P165" s="32" t="s">
        <v>819</v>
      </c>
      <c r="Q165" s="31">
        <f>3696</f>
        <v>3696</v>
      </c>
      <c r="R165" s="32" t="s">
        <v>934</v>
      </c>
      <c r="S165" s="33">
        <f>3750.36</f>
        <v>3750.36</v>
      </c>
      <c r="T165" s="30">
        <f>117170</f>
        <v>117170</v>
      </c>
      <c r="U165" s="30" t="str">
        <f t="shared" ref="U165:U172" si="3">"－"</f>
        <v>－</v>
      </c>
      <c r="V165" s="30">
        <f>434114880</f>
        <v>434114880</v>
      </c>
      <c r="W165" s="30" t="str">
        <f t="shared" ref="W165:W172" si="4">"－"</f>
        <v>－</v>
      </c>
      <c r="X165" s="34">
        <f>22</f>
        <v>22</v>
      </c>
    </row>
    <row r="166" spans="1:24" x14ac:dyDescent="0.15">
      <c r="A166" s="25" t="s">
        <v>979</v>
      </c>
      <c r="B166" s="25" t="s">
        <v>532</v>
      </c>
      <c r="C166" s="25" t="s">
        <v>533</v>
      </c>
      <c r="D166" s="25" t="s">
        <v>534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1738</f>
        <v>1738</v>
      </c>
      <c r="L166" s="32" t="s">
        <v>904</v>
      </c>
      <c r="M166" s="31">
        <f>1816</f>
        <v>1816</v>
      </c>
      <c r="N166" s="32" t="s">
        <v>911</v>
      </c>
      <c r="O166" s="31">
        <f>1672.5</f>
        <v>1672.5</v>
      </c>
      <c r="P166" s="32" t="s">
        <v>87</v>
      </c>
      <c r="Q166" s="31">
        <f>1725</f>
        <v>1725</v>
      </c>
      <c r="R166" s="32" t="s">
        <v>934</v>
      </c>
      <c r="S166" s="33">
        <f>1736.52</f>
        <v>1736.52</v>
      </c>
      <c r="T166" s="30">
        <f>156850</f>
        <v>156850</v>
      </c>
      <c r="U166" s="30" t="str">
        <f t="shared" si="3"/>
        <v>－</v>
      </c>
      <c r="V166" s="30">
        <f>273258700</f>
        <v>273258700</v>
      </c>
      <c r="W166" s="30" t="str">
        <f t="shared" si="4"/>
        <v>－</v>
      </c>
      <c r="X166" s="34">
        <f>22</f>
        <v>22</v>
      </c>
    </row>
    <row r="167" spans="1:24" x14ac:dyDescent="0.15">
      <c r="A167" s="25" t="s">
        <v>979</v>
      </c>
      <c r="B167" s="25" t="s">
        <v>535</v>
      </c>
      <c r="C167" s="25" t="s">
        <v>536</v>
      </c>
      <c r="D167" s="25" t="s">
        <v>537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100</v>
      </c>
      <c r="K167" s="31">
        <f>205.4</f>
        <v>205.4</v>
      </c>
      <c r="L167" s="32" t="s">
        <v>904</v>
      </c>
      <c r="M167" s="31">
        <f>222</f>
        <v>222</v>
      </c>
      <c r="N167" s="32" t="s">
        <v>911</v>
      </c>
      <c r="O167" s="31">
        <f>205.2</f>
        <v>205.2</v>
      </c>
      <c r="P167" s="32" t="s">
        <v>904</v>
      </c>
      <c r="Q167" s="31">
        <f>211.6</f>
        <v>211.6</v>
      </c>
      <c r="R167" s="32" t="s">
        <v>934</v>
      </c>
      <c r="S167" s="33">
        <f>214.39</f>
        <v>214.39</v>
      </c>
      <c r="T167" s="30">
        <f>456000</f>
        <v>456000</v>
      </c>
      <c r="U167" s="30" t="str">
        <f t="shared" si="3"/>
        <v>－</v>
      </c>
      <c r="V167" s="30">
        <f>98571990</f>
        <v>98571990</v>
      </c>
      <c r="W167" s="30" t="str">
        <f t="shared" si="4"/>
        <v>－</v>
      </c>
      <c r="X167" s="34">
        <f>22</f>
        <v>22</v>
      </c>
    </row>
    <row r="168" spans="1:24" x14ac:dyDescent="0.15">
      <c r="A168" s="25" t="s">
        <v>979</v>
      </c>
      <c r="B168" s="25" t="s">
        <v>538</v>
      </c>
      <c r="C168" s="25" t="s">
        <v>539</v>
      </c>
      <c r="D168" s="25" t="s">
        <v>540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1778</f>
        <v>1778</v>
      </c>
      <c r="L168" s="32" t="s">
        <v>904</v>
      </c>
      <c r="M168" s="31">
        <f>1971</f>
        <v>1971</v>
      </c>
      <c r="N168" s="32" t="s">
        <v>912</v>
      </c>
      <c r="O168" s="31">
        <f>1650</f>
        <v>1650</v>
      </c>
      <c r="P168" s="32" t="s">
        <v>820</v>
      </c>
      <c r="Q168" s="31">
        <f>1720</f>
        <v>1720</v>
      </c>
      <c r="R168" s="32" t="s">
        <v>934</v>
      </c>
      <c r="S168" s="33">
        <f>1781.86</f>
        <v>1781.86</v>
      </c>
      <c r="T168" s="30">
        <f>24030</f>
        <v>24030</v>
      </c>
      <c r="U168" s="30" t="str">
        <f t="shared" si="3"/>
        <v>－</v>
      </c>
      <c r="V168" s="30">
        <f>42929215</f>
        <v>42929215</v>
      </c>
      <c r="W168" s="30" t="str">
        <f t="shared" si="4"/>
        <v>－</v>
      </c>
      <c r="X168" s="34">
        <f>22</f>
        <v>22</v>
      </c>
    </row>
    <row r="169" spans="1:24" x14ac:dyDescent="0.15">
      <c r="A169" s="25" t="s">
        <v>979</v>
      </c>
      <c r="B169" s="25" t="s">
        <v>541</v>
      </c>
      <c r="C169" s="25" t="s">
        <v>542</v>
      </c>
      <c r="D169" s="25" t="s">
        <v>543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791.1</f>
        <v>791.1</v>
      </c>
      <c r="L169" s="32" t="s">
        <v>904</v>
      </c>
      <c r="M169" s="31">
        <f>885</f>
        <v>885</v>
      </c>
      <c r="N169" s="32" t="s">
        <v>70</v>
      </c>
      <c r="O169" s="31">
        <f>731.4</f>
        <v>731.4</v>
      </c>
      <c r="P169" s="32" t="s">
        <v>820</v>
      </c>
      <c r="Q169" s="31">
        <f>766</f>
        <v>766</v>
      </c>
      <c r="R169" s="32" t="s">
        <v>934</v>
      </c>
      <c r="S169" s="33">
        <f>808.93</f>
        <v>808.93</v>
      </c>
      <c r="T169" s="30">
        <f>387230</f>
        <v>387230</v>
      </c>
      <c r="U169" s="30" t="str">
        <f t="shared" si="3"/>
        <v>－</v>
      </c>
      <c r="V169" s="30">
        <f>316018971</f>
        <v>316018971</v>
      </c>
      <c r="W169" s="30" t="str">
        <f t="shared" si="4"/>
        <v>－</v>
      </c>
      <c r="X169" s="34">
        <f>22</f>
        <v>22</v>
      </c>
    </row>
    <row r="170" spans="1:24" x14ac:dyDescent="0.15">
      <c r="A170" s="25" t="s">
        <v>979</v>
      </c>
      <c r="B170" s="25" t="s">
        <v>544</v>
      </c>
      <c r="C170" s="25" t="s">
        <v>545</v>
      </c>
      <c r="D170" s="25" t="s">
        <v>546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2343</f>
        <v>2343</v>
      </c>
      <c r="L170" s="32" t="s">
        <v>904</v>
      </c>
      <c r="M170" s="31">
        <f>2499.5</f>
        <v>2499.5</v>
      </c>
      <c r="N170" s="32" t="s">
        <v>911</v>
      </c>
      <c r="O170" s="31">
        <f>2042.5</f>
        <v>2042.5</v>
      </c>
      <c r="P170" s="32" t="s">
        <v>266</v>
      </c>
      <c r="Q170" s="31">
        <f>2130</f>
        <v>2130</v>
      </c>
      <c r="R170" s="32" t="s">
        <v>934</v>
      </c>
      <c r="S170" s="33">
        <f>2257.5</f>
        <v>2257.5</v>
      </c>
      <c r="T170" s="30">
        <f>12300</f>
        <v>12300</v>
      </c>
      <c r="U170" s="30" t="str">
        <f t="shared" si="3"/>
        <v>－</v>
      </c>
      <c r="V170" s="30">
        <f>27806450</f>
        <v>27806450</v>
      </c>
      <c r="W170" s="30" t="str">
        <f t="shared" si="4"/>
        <v>－</v>
      </c>
      <c r="X170" s="34">
        <f>22</f>
        <v>22</v>
      </c>
    </row>
    <row r="171" spans="1:24" x14ac:dyDescent="0.15">
      <c r="A171" s="25" t="s">
        <v>979</v>
      </c>
      <c r="B171" s="25" t="s">
        <v>547</v>
      </c>
      <c r="C171" s="25" t="s">
        <v>548</v>
      </c>
      <c r="D171" s="25" t="s">
        <v>549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945.9</f>
        <v>945.9</v>
      </c>
      <c r="L171" s="32" t="s">
        <v>904</v>
      </c>
      <c r="M171" s="31">
        <f>1007</f>
        <v>1007</v>
      </c>
      <c r="N171" s="32" t="s">
        <v>56</v>
      </c>
      <c r="O171" s="31">
        <f>888.7</f>
        <v>888.7</v>
      </c>
      <c r="P171" s="32" t="s">
        <v>820</v>
      </c>
      <c r="Q171" s="31">
        <f>922</f>
        <v>922</v>
      </c>
      <c r="R171" s="32" t="s">
        <v>934</v>
      </c>
      <c r="S171" s="33">
        <f>953</f>
        <v>953</v>
      </c>
      <c r="T171" s="30">
        <f>267000</f>
        <v>267000</v>
      </c>
      <c r="U171" s="30" t="str">
        <f t="shared" si="3"/>
        <v>－</v>
      </c>
      <c r="V171" s="30">
        <f>255238004</f>
        <v>255238004</v>
      </c>
      <c r="W171" s="30" t="str">
        <f t="shared" si="4"/>
        <v>－</v>
      </c>
      <c r="X171" s="34">
        <f>22</f>
        <v>22</v>
      </c>
    </row>
    <row r="172" spans="1:24" x14ac:dyDescent="0.15">
      <c r="A172" s="25" t="s">
        <v>979</v>
      </c>
      <c r="B172" s="25" t="s">
        <v>550</v>
      </c>
      <c r="C172" s="25" t="s">
        <v>551</v>
      </c>
      <c r="D172" s="25" t="s">
        <v>552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715.8</f>
        <v>715.8</v>
      </c>
      <c r="L172" s="32" t="s">
        <v>904</v>
      </c>
      <c r="M172" s="31">
        <f>762</f>
        <v>762</v>
      </c>
      <c r="N172" s="32" t="s">
        <v>56</v>
      </c>
      <c r="O172" s="31">
        <f>665.5</f>
        <v>665.5</v>
      </c>
      <c r="P172" s="32" t="s">
        <v>266</v>
      </c>
      <c r="Q172" s="31">
        <f>685.2</f>
        <v>685.2</v>
      </c>
      <c r="R172" s="32" t="s">
        <v>934</v>
      </c>
      <c r="S172" s="33">
        <f>716.05</f>
        <v>716.05</v>
      </c>
      <c r="T172" s="30">
        <f>1231850</f>
        <v>1231850</v>
      </c>
      <c r="U172" s="30" t="str">
        <f t="shared" si="3"/>
        <v>－</v>
      </c>
      <c r="V172" s="30">
        <f>884863604</f>
        <v>884863604</v>
      </c>
      <c r="W172" s="30" t="str">
        <f t="shared" si="4"/>
        <v>－</v>
      </c>
      <c r="X172" s="34">
        <f>22</f>
        <v>22</v>
      </c>
    </row>
    <row r="173" spans="1:24" x14ac:dyDescent="0.15">
      <c r="A173" s="25" t="s">
        <v>979</v>
      </c>
      <c r="B173" s="25" t="s">
        <v>553</v>
      </c>
      <c r="C173" s="25" t="s">
        <v>554</v>
      </c>
      <c r="D173" s="25" t="s">
        <v>555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4.4</f>
        <v>4.4000000000000004</v>
      </c>
      <c r="L173" s="32" t="s">
        <v>904</v>
      </c>
      <c r="M173" s="31">
        <f>5.3</f>
        <v>5.3</v>
      </c>
      <c r="N173" s="32" t="s">
        <v>70</v>
      </c>
      <c r="O173" s="31">
        <f>3.4</f>
        <v>3.4</v>
      </c>
      <c r="P173" s="32" t="s">
        <v>820</v>
      </c>
      <c r="Q173" s="31">
        <f>3.6</f>
        <v>3.6</v>
      </c>
      <c r="R173" s="32" t="s">
        <v>934</v>
      </c>
      <c r="S173" s="33">
        <f>4.21</f>
        <v>4.21</v>
      </c>
      <c r="T173" s="30">
        <f>924080700</f>
        <v>924080700</v>
      </c>
      <c r="U173" s="30">
        <f>2275100</f>
        <v>2275100</v>
      </c>
      <c r="V173" s="30">
        <f>4007635040</f>
        <v>4007635040</v>
      </c>
      <c r="W173" s="30">
        <f>9788310</f>
        <v>9788310</v>
      </c>
      <c r="X173" s="34">
        <f>22</f>
        <v>22</v>
      </c>
    </row>
    <row r="174" spans="1:24" x14ac:dyDescent="0.15">
      <c r="A174" s="25" t="s">
        <v>979</v>
      </c>
      <c r="B174" s="25" t="s">
        <v>556</v>
      </c>
      <c r="C174" s="25" t="s">
        <v>557</v>
      </c>
      <c r="D174" s="25" t="s">
        <v>558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1470.5</f>
        <v>1470.5</v>
      </c>
      <c r="L174" s="32" t="s">
        <v>904</v>
      </c>
      <c r="M174" s="31">
        <f>1648.5</f>
        <v>1648.5</v>
      </c>
      <c r="N174" s="32" t="s">
        <v>911</v>
      </c>
      <c r="O174" s="31">
        <f>1411.5</f>
        <v>1411.5</v>
      </c>
      <c r="P174" s="32" t="s">
        <v>820</v>
      </c>
      <c r="Q174" s="31">
        <f>1520</f>
        <v>1520</v>
      </c>
      <c r="R174" s="32" t="s">
        <v>934</v>
      </c>
      <c r="S174" s="33">
        <f>1533.16</f>
        <v>1533.16</v>
      </c>
      <c r="T174" s="30">
        <f>378580</f>
        <v>378580</v>
      </c>
      <c r="U174" s="30" t="str">
        <f t="shared" ref="U174:U181" si="5">"－"</f>
        <v>－</v>
      </c>
      <c r="V174" s="30">
        <f>580994805</f>
        <v>580994805</v>
      </c>
      <c r="W174" s="30" t="str">
        <f t="shared" ref="W174:W181" si="6">"－"</f>
        <v>－</v>
      </c>
      <c r="X174" s="34">
        <f>22</f>
        <v>22</v>
      </c>
    </row>
    <row r="175" spans="1:24" x14ac:dyDescent="0.15">
      <c r="A175" s="25" t="s">
        <v>979</v>
      </c>
      <c r="B175" s="25" t="s">
        <v>559</v>
      </c>
      <c r="C175" s="25" t="s">
        <v>560</v>
      </c>
      <c r="D175" s="25" t="s">
        <v>561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</v>
      </c>
      <c r="K175" s="31">
        <f>7090</f>
        <v>7090</v>
      </c>
      <c r="L175" s="32" t="s">
        <v>904</v>
      </c>
      <c r="M175" s="31">
        <f>8056</f>
        <v>8056</v>
      </c>
      <c r="N175" s="32" t="s">
        <v>905</v>
      </c>
      <c r="O175" s="31">
        <f>7051</f>
        <v>7051</v>
      </c>
      <c r="P175" s="32" t="s">
        <v>87</v>
      </c>
      <c r="Q175" s="31">
        <f>7331</f>
        <v>7331</v>
      </c>
      <c r="R175" s="32" t="s">
        <v>934</v>
      </c>
      <c r="S175" s="33">
        <f>7540.82</f>
        <v>7540.82</v>
      </c>
      <c r="T175" s="30">
        <f>16408</f>
        <v>16408</v>
      </c>
      <c r="U175" s="30" t="str">
        <f t="shared" si="5"/>
        <v>－</v>
      </c>
      <c r="V175" s="30">
        <f>125166711</f>
        <v>125166711</v>
      </c>
      <c r="W175" s="30" t="str">
        <f t="shared" si="6"/>
        <v>－</v>
      </c>
      <c r="X175" s="34">
        <f>22</f>
        <v>22</v>
      </c>
    </row>
    <row r="176" spans="1:24" x14ac:dyDescent="0.15">
      <c r="A176" s="25" t="s">
        <v>979</v>
      </c>
      <c r="B176" s="25" t="s">
        <v>562</v>
      </c>
      <c r="C176" s="25" t="s">
        <v>563</v>
      </c>
      <c r="D176" s="25" t="s">
        <v>564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503</f>
        <v>503</v>
      </c>
      <c r="L176" s="32" t="s">
        <v>904</v>
      </c>
      <c r="M176" s="31">
        <f>519.8</f>
        <v>519.79999999999995</v>
      </c>
      <c r="N176" s="32" t="s">
        <v>911</v>
      </c>
      <c r="O176" s="31">
        <f>450.4</f>
        <v>450.4</v>
      </c>
      <c r="P176" s="32" t="s">
        <v>266</v>
      </c>
      <c r="Q176" s="31">
        <f>465</f>
        <v>465</v>
      </c>
      <c r="R176" s="32" t="s">
        <v>934</v>
      </c>
      <c r="S176" s="33">
        <f>482.45</f>
        <v>482.45</v>
      </c>
      <c r="T176" s="30">
        <f>382300</f>
        <v>382300</v>
      </c>
      <c r="U176" s="30" t="str">
        <f t="shared" si="5"/>
        <v>－</v>
      </c>
      <c r="V176" s="30">
        <f>184783920</f>
        <v>184783920</v>
      </c>
      <c r="W176" s="30" t="str">
        <f t="shared" si="6"/>
        <v>－</v>
      </c>
      <c r="X176" s="34">
        <f>22</f>
        <v>22</v>
      </c>
    </row>
    <row r="177" spans="1:24" x14ac:dyDescent="0.15">
      <c r="A177" s="25" t="s">
        <v>979</v>
      </c>
      <c r="B177" s="25" t="s">
        <v>565</v>
      </c>
      <c r="C177" s="25" t="s">
        <v>566</v>
      </c>
      <c r="D177" s="25" t="s">
        <v>567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4866</f>
        <v>4866</v>
      </c>
      <c r="L177" s="32" t="s">
        <v>904</v>
      </c>
      <c r="M177" s="31">
        <f>5251</f>
        <v>5251</v>
      </c>
      <c r="N177" s="32" t="s">
        <v>911</v>
      </c>
      <c r="O177" s="31">
        <f>4420</f>
        <v>4420</v>
      </c>
      <c r="P177" s="32" t="s">
        <v>820</v>
      </c>
      <c r="Q177" s="31">
        <f>4521</f>
        <v>4521</v>
      </c>
      <c r="R177" s="32" t="s">
        <v>934</v>
      </c>
      <c r="S177" s="33">
        <f>4868.18</f>
        <v>4868.18</v>
      </c>
      <c r="T177" s="30">
        <f>55650</f>
        <v>55650</v>
      </c>
      <c r="U177" s="30" t="str">
        <f t="shared" si="5"/>
        <v>－</v>
      </c>
      <c r="V177" s="30">
        <f>270877390</f>
        <v>270877390</v>
      </c>
      <c r="W177" s="30" t="str">
        <f t="shared" si="6"/>
        <v>－</v>
      </c>
      <c r="X177" s="34">
        <f>22</f>
        <v>22</v>
      </c>
    </row>
    <row r="178" spans="1:24" x14ac:dyDescent="0.15">
      <c r="A178" s="25" t="s">
        <v>979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3422</f>
        <v>3422</v>
      </c>
      <c r="L178" s="32" t="s">
        <v>904</v>
      </c>
      <c r="M178" s="31">
        <f>3647</f>
        <v>3647</v>
      </c>
      <c r="N178" s="32" t="s">
        <v>912</v>
      </c>
      <c r="O178" s="31">
        <f>2800</f>
        <v>2800</v>
      </c>
      <c r="P178" s="32" t="s">
        <v>266</v>
      </c>
      <c r="Q178" s="31">
        <f>3016</f>
        <v>3016</v>
      </c>
      <c r="R178" s="32" t="s">
        <v>934</v>
      </c>
      <c r="S178" s="33">
        <f>3258.52</f>
        <v>3258.52</v>
      </c>
      <c r="T178" s="30">
        <f>53770</f>
        <v>53770</v>
      </c>
      <c r="U178" s="30" t="str">
        <f t="shared" si="5"/>
        <v>－</v>
      </c>
      <c r="V178" s="30">
        <f>173063160</f>
        <v>173063160</v>
      </c>
      <c r="W178" s="30" t="str">
        <f t="shared" si="6"/>
        <v>－</v>
      </c>
      <c r="X178" s="34">
        <f>22</f>
        <v>22</v>
      </c>
    </row>
    <row r="179" spans="1:24" x14ac:dyDescent="0.15">
      <c r="A179" s="25" t="s">
        <v>979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146.7</f>
        <v>146.69999999999999</v>
      </c>
      <c r="L179" s="32" t="s">
        <v>904</v>
      </c>
      <c r="M179" s="31">
        <f>153</f>
        <v>153</v>
      </c>
      <c r="N179" s="32" t="s">
        <v>56</v>
      </c>
      <c r="O179" s="31">
        <f>127.6</f>
        <v>127.6</v>
      </c>
      <c r="P179" s="32" t="s">
        <v>94</v>
      </c>
      <c r="Q179" s="31">
        <f>129.8</f>
        <v>129.80000000000001</v>
      </c>
      <c r="R179" s="32" t="s">
        <v>934</v>
      </c>
      <c r="S179" s="33">
        <f>141.8</f>
        <v>141.80000000000001</v>
      </c>
      <c r="T179" s="30">
        <f>22606800</f>
        <v>22606800</v>
      </c>
      <c r="U179" s="30" t="str">
        <f t="shared" si="5"/>
        <v>－</v>
      </c>
      <c r="V179" s="30">
        <f>3213932780</f>
        <v>3213932780</v>
      </c>
      <c r="W179" s="30" t="str">
        <f t="shared" si="6"/>
        <v>－</v>
      </c>
      <c r="X179" s="34">
        <f>22</f>
        <v>22</v>
      </c>
    </row>
    <row r="180" spans="1:24" x14ac:dyDescent="0.15">
      <c r="A180" s="25" t="s">
        <v>979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183</f>
        <v>183</v>
      </c>
      <c r="L180" s="32" t="s">
        <v>904</v>
      </c>
      <c r="M180" s="31">
        <f>198.1</f>
        <v>198.1</v>
      </c>
      <c r="N180" s="32" t="s">
        <v>87</v>
      </c>
      <c r="O180" s="31">
        <f>176.3</f>
        <v>176.3</v>
      </c>
      <c r="P180" s="32" t="s">
        <v>820</v>
      </c>
      <c r="Q180" s="31">
        <f>179.1</f>
        <v>179.1</v>
      </c>
      <c r="R180" s="32" t="s">
        <v>934</v>
      </c>
      <c r="S180" s="33">
        <f>186.81</f>
        <v>186.81</v>
      </c>
      <c r="T180" s="30">
        <f>2946400</f>
        <v>2946400</v>
      </c>
      <c r="U180" s="30" t="str">
        <f t="shared" si="5"/>
        <v>－</v>
      </c>
      <c r="V180" s="30">
        <f>550788650</f>
        <v>550788650</v>
      </c>
      <c r="W180" s="30" t="str">
        <f t="shared" si="6"/>
        <v>－</v>
      </c>
      <c r="X180" s="34">
        <f>22</f>
        <v>22</v>
      </c>
    </row>
    <row r="181" spans="1:24" x14ac:dyDescent="0.15">
      <c r="A181" s="25" t="s">
        <v>979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3969</f>
        <v>3969</v>
      </c>
      <c r="L181" s="32" t="s">
        <v>904</v>
      </c>
      <c r="M181" s="31">
        <f>4339</f>
        <v>4339</v>
      </c>
      <c r="N181" s="32" t="s">
        <v>905</v>
      </c>
      <c r="O181" s="31">
        <f>3843</f>
        <v>3843</v>
      </c>
      <c r="P181" s="32" t="s">
        <v>820</v>
      </c>
      <c r="Q181" s="31">
        <f>4107</f>
        <v>4107</v>
      </c>
      <c r="R181" s="32" t="s">
        <v>934</v>
      </c>
      <c r="S181" s="33">
        <f>4108.14</f>
        <v>4108.1400000000003</v>
      </c>
      <c r="T181" s="30">
        <f>50490</f>
        <v>50490</v>
      </c>
      <c r="U181" s="30" t="str">
        <f t="shared" si="5"/>
        <v>－</v>
      </c>
      <c r="V181" s="30">
        <f>207407640</f>
        <v>207407640</v>
      </c>
      <c r="W181" s="30" t="str">
        <f t="shared" si="6"/>
        <v>－</v>
      </c>
      <c r="X181" s="34">
        <f>22</f>
        <v>22</v>
      </c>
    </row>
    <row r="182" spans="1:24" x14ac:dyDescent="0.15">
      <c r="A182" s="25" t="s">
        <v>979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1993.5</f>
        <v>1993.5</v>
      </c>
      <c r="L182" s="32" t="s">
        <v>904</v>
      </c>
      <c r="M182" s="31">
        <f>2060</f>
        <v>2060</v>
      </c>
      <c r="N182" s="32" t="s">
        <v>911</v>
      </c>
      <c r="O182" s="31">
        <f>1940</f>
        <v>1940</v>
      </c>
      <c r="P182" s="32" t="s">
        <v>819</v>
      </c>
      <c r="Q182" s="31">
        <f>1970.5</f>
        <v>1970.5</v>
      </c>
      <c r="R182" s="32" t="s">
        <v>934</v>
      </c>
      <c r="S182" s="33">
        <f>1996.93</f>
        <v>1996.93</v>
      </c>
      <c r="T182" s="30">
        <f>133770</f>
        <v>133770</v>
      </c>
      <c r="U182" s="30">
        <f>5010</f>
        <v>5010</v>
      </c>
      <c r="V182" s="30">
        <f>267408382</f>
        <v>267408382</v>
      </c>
      <c r="W182" s="30">
        <f>10071397</f>
        <v>10071397</v>
      </c>
      <c r="X182" s="34">
        <f>22</f>
        <v>22</v>
      </c>
    </row>
    <row r="183" spans="1:24" x14ac:dyDescent="0.15">
      <c r="A183" s="25" t="s">
        <v>979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395</f>
        <v>395</v>
      </c>
      <c r="L183" s="32" t="s">
        <v>904</v>
      </c>
      <c r="M183" s="31">
        <f>444.1</f>
        <v>444.1</v>
      </c>
      <c r="N183" s="32" t="s">
        <v>911</v>
      </c>
      <c r="O183" s="31">
        <f>380.7</f>
        <v>380.7</v>
      </c>
      <c r="P183" s="32" t="s">
        <v>820</v>
      </c>
      <c r="Q183" s="31">
        <f>409.5</f>
        <v>409.5</v>
      </c>
      <c r="R183" s="32" t="s">
        <v>934</v>
      </c>
      <c r="S183" s="33">
        <f>413.04</f>
        <v>413.04</v>
      </c>
      <c r="T183" s="30">
        <f>58666480</f>
        <v>58666480</v>
      </c>
      <c r="U183" s="30">
        <f>29590</f>
        <v>29590</v>
      </c>
      <c r="V183" s="30">
        <f>23876398570</f>
        <v>23876398570</v>
      </c>
      <c r="W183" s="30">
        <f>12201635</f>
        <v>12201635</v>
      </c>
      <c r="X183" s="34">
        <f>22</f>
        <v>22</v>
      </c>
    </row>
    <row r="184" spans="1:24" x14ac:dyDescent="0.15">
      <c r="A184" s="25" t="s">
        <v>979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7099</f>
        <v>7099</v>
      </c>
      <c r="L184" s="32" t="s">
        <v>904</v>
      </c>
      <c r="M184" s="31">
        <f>8000</f>
        <v>8000</v>
      </c>
      <c r="N184" s="32" t="s">
        <v>936</v>
      </c>
      <c r="O184" s="31">
        <f>6701</f>
        <v>6701</v>
      </c>
      <c r="P184" s="32" t="s">
        <v>819</v>
      </c>
      <c r="Q184" s="31">
        <f>7718</f>
        <v>7718</v>
      </c>
      <c r="R184" s="32" t="s">
        <v>934</v>
      </c>
      <c r="S184" s="33">
        <f>7375.82</f>
        <v>7375.82</v>
      </c>
      <c r="T184" s="30">
        <f>38367</f>
        <v>38367</v>
      </c>
      <c r="U184" s="30" t="str">
        <f>"－"</f>
        <v>－</v>
      </c>
      <c r="V184" s="30">
        <f>283900414</f>
        <v>283900414</v>
      </c>
      <c r="W184" s="30" t="str">
        <f>"－"</f>
        <v>－</v>
      </c>
      <c r="X184" s="34">
        <f>22</f>
        <v>22</v>
      </c>
    </row>
    <row r="185" spans="1:24" x14ac:dyDescent="0.15">
      <c r="A185" s="25" t="s">
        <v>979</v>
      </c>
      <c r="B185" s="25" t="s">
        <v>590</v>
      </c>
      <c r="C185" s="25" t="s">
        <v>591</v>
      </c>
      <c r="D185" s="25" t="s">
        <v>592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7435</f>
        <v>7435</v>
      </c>
      <c r="L185" s="32" t="s">
        <v>904</v>
      </c>
      <c r="M185" s="31">
        <f>7943</f>
        <v>7943</v>
      </c>
      <c r="N185" s="32" t="s">
        <v>695</v>
      </c>
      <c r="O185" s="31">
        <f>7201</f>
        <v>7201</v>
      </c>
      <c r="P185" s="32" t="s">
        <v>266</v>
      </c>
      <c r="Q185" s="31">
        <f>7506</f>
        <v>7506</v>
      </c>
      <c r="R185" s="32" t="s">
        <v>934</v>
      </c>
      <c r="S185" s="33">
        <f>7541.86</f>
        <v>7541.86</v>
      </c>
      <c r="T185" s="30">
        <f>2758</f>
        <v>2758</v>
      </c>
      <c r="U185" s="30" t="str">
        <f>"－"</f>
        <v>－</v>
      </c>
      <c r="V185" s="30">
        <f>21025248</f>
        <v>21025248</v>
      </c>
      <c r="W185" s="30" t="str">
        <f>"－"</f>
        <v>－</v>
      </c>
      <c r="X185" s="34">
        <f>22</f>
        <v>22</v>
      </c>
    </row>
    <row r="186" spans="1:24" x14ac:dyDescent="0.15">
      <c r="A186" s="25" t="s">
        <v>979</v>
      </c>
      <c r="B186" s="25" t="s">
        <v>593</v>
      </c>
      <c r="C186" s="25" t="s">
        <v>594</v>
      </c>
      <c r="D186" s="25" t="s">
        <v>595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13610</f>
        <v>13610</v>
      </c>
      <c r="L186" s="32" t="s">
        <v>904</v>
      </c>
      <c r="M186" s="31">
        <f>14095</f>
        <v>14095</v>
      </c>
      <c r="N186" s="32" t="s">
        <v>907</v>
      </c>
      <c r="O186" s="31">
        <f>10320</f>
        <v>10320</v>
      </c>
      <c r="P186" s="32" t="s">
        <v>935</v>
      </c>
      <c r="Q186" s="31">
        <f>10730</f>
        <v>10730</v>
      </c>
      <c r="R186" s="32" t="s">
        <v>934</v>
      </c>
      <c r="S186" s="33">
        <f>12003</f>
        <v>12003</v>
      </c>
      <c r="T186" s="30">
        <f>1798</f>
        <v>1798</v>
      </c>
      <c r="U186" s="30" t="str">
        <f>"－"</f>
        <v>－</v>
      </c>
      <c r="V186" s="30">
        <f>20510800</f>
        <v>20510800</v>
      </c>
      <c r="W186" s="30" t="str">
        <f>"－"</f>
        <v>－</v>
      </c>
      <c r="X186" s="34">
        <f>20</f>
        <v>20</v>
      </c>
    </row>
    <row r="187" spans="1:24" x14ac:dyDescent="0.15">
      <c r="A187" s="25" t="s">
        <v>979</v>
      </c>
      <c r="B187" s="25" t="s">
        <v>596</v>
      </c>
      <c r="C187" s="25" t="s">
        <v>597</v>
      </c>
      <c r="D187" s="25" t="s">
        <v>598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7260</f>
        <v>7260</v>
      </c>
      <c r="L187" s="32" t="s">
        <v>904</v>
      </c>
      <c r="M187" s="31">
        <f>8500</f>
        <v>8500</v>
      </c>
      <c r="N187" s="32" t="s">
        <v>935</v>
      </c>
      <c r="O187" s="31">
        <f>7183</f>
        <v>7183</v>
      </c>
      <c r="P187" s="32" t="s">
        <v>904</v>
      </c>
      <c r="Q187" s="31">
        <f>8383</f>
        <v>8383</v>
      </c>
      <c r="R187" s="32" t="s">
        <v>934</v>
      </c>
      <c r="S187" s="33">
        <f>7940.18</f>
        <v>7940.18</v>
      </c>
      <c r="T187" s="30">
        <f>22269</f>
        <v>22269</v>
      </c>
      <c r="U187" s="30" t="str">
        <f>"－"</f>
        <v>－</v>
      </c>
      <c r="V187" s="30">
        <f>177608177</f>
        <v>177608177</v>
      </c>
      <c r="W187" s="30" t="str">
        <f>"－"</f>
        <v>－</v>
      </c>
      <c r="X187" s="34">
        <f>22</f>
        <v>22</v>
      </c>
    </row>
    <row r="188" spans="1:24" x14ac:dyDescent="0.15">
      <c r="A188" s="25" t="s">
        <v>979</v>
      </c>
      <c r="B188" s="25" t="s">
        <v>602</v>
      </c>
      <c r="C188" s="25" t="s">
        <v>603</v>
      </c>
      <c r="D188" s="25" t="s">
        <v>604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24765</f>
        <v>24765</v>
      </c>
      <c r="L188" s="32" t="s">
        <v>904</v>
      </c>
      <c r="M188" s="31">
        <f>27990</f>
        <v>27990</v>
      </c>
      <c r="N188" s="32" t="s">
        <v>56</v>
      </c>
      <c r="O188" s="31">
        <f>24535</f>
        <v>24535</v>
      </c>
      <c r="P188" s="32" t="s">
        <v>904</v>
      </c>
      <c r="Q188" s="31">
        <f>26855</f>
        <v>26855</v>
      </c>
      <c r="R188" s="32" t="s">
        <v>934</v>
      </c>
      <c r="S188" s="33">
        <f>26487.5</f>
        <v>26487.5</v>
      </c>
      <c r="T188" s="30">
        <f>40846</f>
        <v>40846</v>
      </c>
      <c r="U188" s="30">
        <f>26</f>
        <v>26</v>
      </c>
      <c r="V188" s="30">
        <f>1084799565</f>
        <v>1084799565</v>
      </c>
      <c r="W188" s="30">
        <f>690880</f>
        <v>690880</v>
      </c>
      <c r="X188" s="34">
        <f>22</f>
        <v>22</v>
      </c>
    </row>
    <row r="189" spans="1:24" x14ac:dyDescent="0.15">
      <c r="A189" s="25" t="s">
        <v>979</v>
      </c>
      <c r="B189" s="25" t="s">
        <v>605</v>
      </c>
      <c r="C189" s="25" t="s">
        <v>606</v>
      </c>
      <c r="D189" s="25" t="s">
        <v>607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4580</f>
        <v>4580</v>
      </c>
      <c r="L189" s="32" t="s">
        <v>904</v>
      </c>
      <c r="M189" s="31">
        <f>4585</f>
        <v>4585</v>
      </c>
      <c r="N189" s="32" t="s">
        <v>904</v>
      </c>
      <c r="O189" s="31">
        <f>4280</f>
        <v>4280</v>
      </c>
      <c r="P189" s="32" t="s">
        <v>56</v>
      </c>
      <c r="Q189" s="31">
        <f>4320</f>
        <v>4320</v>
      </c>
      <c r="R189" s="32" t="s">
        <v>934</v>
      </c>
      <c r="S189" s="33">
        <f>4389.55</f>
        <v>4389.55</v>
      </c>
      <c r="T189" s="30">
        <f>10622</f>
        <v>10622</v>
      </c>
      <c r="U189" s="30" t="str">
        <f>"－"</f>
        <v>－</v>
      </c>
      <c r="V189" s="30">
        <f>46309975</f>
        <v>46309975</v>
      </c>
      <c r="W189" s="30" t="str">
        <f>"－"</f>
        <v>－</v>
      </c>
      <c r="X189" s="34">
        <f>22</f>
        <v>22</v>
      </c>
    </row>
    <row r="190" spans="1:24" x14ac:dyDescent="0.15">
      <c r="A190" s="25" t="s">
        <v>979</v>
      </c>
      <c r="B190" s="25" t="s">
        <v>608</v>
      </c>
      <c r="C190" s="25" t="s">
        <v>609</v>
      </c>
      <c r="D190" s="25" t="s">
        <v>610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1792</f>
        <v>1792</v>
      </c>
      <c r="L190" s="32" t="s">
        <v>904</v>
      </c>
      <c r="M190" s="31">
        <f>2248</f>
        <v>2248</v>
      </c>
      <c r="N190" s="32" t="s">
        <v>911</v>
      </c>
      <c r="O190" s="31">
        <f>1660</f>
        <v>1660</v>
      </c>
      <c r="P190" s="32" t="s">
        <v>820</v>
      </c>
      <c r="Q190" s="31">
        <f>1901</f>
        <v>1901</v>
      </c>
      <c r="R190" s="32" t="s">
        <v>934</v>
      </c>
      <c r="S190" s="33">
        <f>1945.09</f>
        <v>1945.09</v>
      </c>
      <c r="T190" s="30">
        <f>57919157</f>
        <v>57919157</v>
      </c>
      <c r="U190" s="30">
        <f>300015</f>
        <v>300015</v>
      </c>
      <c r="V190" s="30">
        <f>112538612995</f>
        <v>112538612995</v>
      </c>
      <c r="W190" s="30">
        <f>660027598</f>
        <v>660027598</v>
      </c>
      <c r="X190" s="34">
        <f>22</f>
        <v>22</v>
      </c>
    </row>
    <row r="191" spans="1:24" x14ac:dyDescent="0.15">
      <c r="A191" s="25" t="s">
        <v>979</v>
      </c>
      <c r="B191" s="25" t="s">
        <v>611</v>
      </c>
      <c r="C191" s="25" t="s">
        <v>612</v>
      </c>
      <c r="D191" s="25" t="s">
        <v>613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1475</f>
        <v>1475</v>
      </c>
      <c r="L191" s="32" t="s">
        <v>904</v>
      </c>
      <c r="M191" s="31">
        <f>1497</f>
        <v>1497</v>
      </c>
      <c r="N191" s="32" t="s">
        <v>909</v>
      </c>
      <c r="O191" s="31">
        <f>1309</f>
        <v>1309</v>
      </c>
      <c r="P191" s="32" t="s">
        <v>911</v>
      </c>
      <c r="Q191" s="31">
        <f>1396</f>
        <v>1396</v>
      </c>
      <c r="R191" s="32" t="s">
        <v>934</v>
      </c>
      <c r="S191" s="33">
        <f>1400.23</f>
        <v>1400.23</v>
      </c>
      <c r="T191" s="30">
        <f>5582984</f>
        <v>5582984</v>
      </c>
      <c r="U191" s="30" t="str">
        <f>"－"</f>
        <v>－</v>
      </c>
      <c r="V191" s="30">
        <f>7830455602</f>
        <v>7830455602</v>
      </c>
      <c r="W191" s="30" t="str">
        <f>"－"</f>
        <v>－</v>
      </c>
      <c r="X191" s="34">
        <f>22</f>
        <v>22</v>
      </c>
    </row>
    <row r="192" spans="1:24" x14ac:dyDescent="0.15">
      <c r="A192" s="25" t="s">
        <v>979</v>
      </c>
      <c r="B192" s="25" t="s">
        <v>614</v>
      </c>
      <c r="C192" s="25" t="s">
        <v>615</v>
      </c>
      <c r="D192" s="25" t="s">
        <v>616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27175</f>
        <v>27175</v>
      </c>
      <c r="L192" s="32" t="s">
        <v>904</v>
      </c>
      <c r="M192" s="31">
        <f>27315</f>
        <v>27315</v>
      </c>
      <c r="N192" s="32" t="s">
        <v>907</v>
      </c>
      <c r="O192" s="31">
        <f>21850</f>
        <v>21850</v>
      </c>
      <c r="P192" s="32" t="s">
        <v>87</v>
      </c>
      <c r="Q192" s="31">
        <f>23085</f>
        <v>23085</v>
      </c>
      <c r="R192" s="32" t="s">
        <v>934</v>
      </c>
      <c r="S192" s="33">
        <f>24449.32</f>
        <v>24449.32</v>
      </c>
      <c r="T192" s="30">
        <f>218119</f>
        <v>218119</v>
      </c>
      <c r="U192" s="30">
        <f>1</f>
        <v>1</v>
      </c>
      <c r="V192" s="30">
        <f>5181261245</f>
        <v>5181261245</v>
      </c>
      <c r="W192" s="30">
        <f>24000</f>
        <v>24000</v>
      </c>
      <c r="X192" s="34">
        <f>22</f>
        <v>22</v>
      </c>
    </row>
    <row r="193" spans="1:24" x14ac:dyDescent="0.15">
      <c r="A193" s="25" t="s">
        <v>979</v>
      </c>
      <c r="B193" s="25" t="s">
        <v>617</v>
      </c>
      <c r="C193" s="25" t="s">
        <v>618</v>
      </c>
      <c r="D193" s="25" t="s">
        <v>619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2976</f>
        <v>2976</v>
      </c>
      <c r="L193" s="32" t="s">
        <v>904</v>
      </c>
      <c r="M193" s="31">
        <f>3300</f>
        <v>3300</v>
      </c>
      <c r="N193" s="32" t="s">
        <v>87</v>
      </c>
      <c r="O193" s="31">
        <f>2957</f>
        <v>2957</v>
      </c>
      <c r="P193" s="32" t="s">
        <v>907</v>
      </c>
      <c r="Q193" s="31">
        <f>3220</f>
        <v>3220</v>
      </c>
      <c r="R193" s="32" t="s">
        <v>934</v>
      </c>
      <c r="S193" s="33">
        <f>3135</f>
        <v>3135</v>
      </c>
      <c r="T193" s="30">
        <f>982328</f>
        <v>982328</v>
      </c>
      <c r="U193" s="30">
        <f>99004</f>
        <v>99004</v>
      </c>
      <c r="V193" s="30">
        <f>3096218391</f>
        <v>3096218391</v>
      </c>
      <c r="W193" s="30">
        <f>298482780</f>
        <v>298482780</v>
      </c>
      <c r="X193" s="34">
        <f>22</f>
        <v>22</v>
      </c>
    </row>
    <row r="194" spans="1:24" x14ac:dyDescent="0.15">
      <c r="A194" s="25" t="s">
        <v>979</v>
      </c>
      <c r="B194" s="25" t="s">
        <v>620</v>
      </c>
      <c r="C194" s="25" t="s">
        <v>621</v>
      </c>
      <c r="D194" s="25" t="s">
        <v>622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7307</f>
        <v>7307</v>
      </c>
      <c r="L194" s="32" t="s">
        <v>904</v>
      </c>
      <c r="M194" s="31">
        <f>7487</f>
        <v>7487</v>
      </c>
      <c r="N194" s="32" t="s">
        <v>911</v>
      </c>
      <c r="O194" s="31">
        <f>6508</f>
        <v>6508</v>
      </c>
      <c r="P194" s="32" t="s">
        <v>87</v>
      </c>
      <c r="Q194" s="31">
        <f>7125</f>
        <v>7125</v>
      </c>
      <c r="R194" s="32" t="s">
        <v>934</v>
      </c>
      <c r="S194" s="33">
        <f>7056.5</f>
        <v>7056.5</v>
      </c>
      <c r="T194" s="30">
        <f>68229</f>
        <v>68229</v>
      </c>
      <c r="U194" s="30">
        <f>4131</f>
        <v>4131</v>
      </c>
      <c r="V194" s="30">
        <f>478279630</f>
        <v>478279630</v>
      </c>
      <c r="W194" s="30">
        <f>29129027</f>
        <v>29129027</v>
      </c>
      <c r="X194" s="34">
        <f>22</f>
        <v>22</v>
      </c>
    </row>
    <row r="195" spans="1:24" x14ac:dyDescent="0.15">
      <c r="A195" s="25" t="s">
        <v>979</v>
      </c>
      <c r="B195" s="25" t="s">
        <v>623</v>
      </c>
      <c r="C195" s="25" t="s">
        <v>624</v>
      </c>
      <c r="D195" s="25" t="s">
        <v>625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15635</f>
        <v>15635</v>
      </c>
      <c r="L195" s="32" t="s">
        <v>904</v>
      </c>
      <c r="M195" s="31">
        <f>16480</f>
        <v>16480</v>
      </c>
      <c r="N195" s="32" t="s">
        <v>911</v>
      </c>
      <c r="O195" s="31">
        <f>15130</f>
        <v>15130</v>
      </c>
      <c r="P195" s="32" t="s">
        <v>935</v>
      </c>
      <c r="Q195" s="31">
        <f>15335</f>
        <v>15335</v>
      </c>
      <c r="R195" s="32" t="s">
        <v>266</v>
      </c>
      <c r="S195" s="33">
        <f>15726.33</f>
        <v>15726.33</v>
      </c>
      <c r="T195" s="30">
        <f>395</f>
        <v>395</v>
      </c>
      <c r="U195" s="30" t="str">
        <f>"－"</f>
        <v>－</v>
      </c>
      <c r="V195" s="30">
        <f>6306970</f>
        <v>6306970</v>
      </c>
      <c r="W195" s="30" t="str">
        <f>"－"</f>
        <v>－</v>
      </c>
      <c r="X195" s="34">
        <f>15</f>
        <v>15</v>
      </c>
    </row>
    <row r="196" spans="1:24" x14ac:dyDescent="0.15">
      <c r="A196" s="25" t="s">
        <v>979</v>
      </c>
      <c r="B196" s="25" t="s">
        <v>626</v>
      </c>
      <c r="C196" s="25" t="s">
        <v>627</v>
      </c>
      <c r="D196" s="25" t="s">
        <v>628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22355</f>
        <v>22355</v>
      </c>
      <c r="L196" s="32" t="s">
        <v>904</v>
      </c>
      <c r="M196" s="31">
        <f>22990</f>
        <v>22990</v>
      </c>
      <c r="N196" s="32" t="s">
        <v>912</v>
      </c>
      <c r="O196" s="31">
        <f>20500</f>
        <v>20500</v>
      </c>
      <c r="P196" s="32" t="s">
        <v>819</v>
      </c>
      <c r="Q196" s="31">
        <f>21850</f>
        <v>21850</v>
      </c>
      <c r="R196" s="32" t="s">
        <v>934</v>
      </c>
      <c r="S196" s="33">
        <f>21901.14</f>
        <v>21901.14</v>
      </c>
      <c r="T196" s="30">
        <f>24473</f>
        <v>24473</v>
      </c>
      <c r="U196" s="30">
        <f>1007</f>
        <v>1007</v>
      </c>
      <c r="V196" s="30">
        <f>536376230</f>
        <v>536376230</v>
      </c>
      <c r="W196" s="30">
        <f>22130560</f>
        <v>22130560</v>
      </c>
      <c r="X196" s="34">
        <f>22</f>
        <v>22</v>
      </c>
    </row>
    <row r="197" spans="1:24" x14ac:dyDescent="0.15">
      <c r="A197" s="25" t="s">
        <v>979</v>
      </c>
      <c r="B197" s="25" t="s">
        <v>629</v>
      </c>
      <c r="C197" s="25" t="s">
        <v>630</v>
      </c>
      <c r="D197" s="25" t="s">
        <v>631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15495</f>
        <v>15495</v>
      </c>
      <c r="L197" s="32" t="s">
        <v>904</v>
      </c>
      <c r="M197" s="31">
        <f>16455</f>
        <v>16455</v>
      </c>
      <c r="N197" s="32" t="s">
        <v>911</v>
      </c>
      <c r="O197" s="31">
        <f>15005</f>
        <v>15005</v>
      </c>
      <c r="P197" s="32" t="s">
        <v>819</v>
      </c>
      <c r="Q197" s="31">
        <f>16005</f>
        <v>16005</v>
      </c>
      <c r="R197" s="32" t="s">
        <v>936</v>
      </c>
      <c r="S197" s="33">
        <f>15738.06</f>
        <v>15738.06</v>
      </c>
      <c r="T197" s="30">
        <f>313</f>
        <v>313</v>
      </c>
      <c r="U197" s="30" t="str">
        <f>"－"</f>
        <v>－</v>
      </c>
      <c r="V197" s="30">
        <f>4958920</f>
        <v>4958920</v>
      </c>
      <c r="W197" s="30" t="str">
        <f>"－"</f>
        <v>－</v>
      </c>
      <c r="X197" s="34">
        <f>18</f>
        <v>18</v>
      </c>
    </row>
    <row r="198" spans="1:24" x14ac:dyDescent="0.15">
      <c r="A198" s="25" t="s">
        <v>979</v>
      </c>
      <c r="B198" s="25" t="s">
        <v>632</v>
      </c>
      <c r="C198" s="25" t="s">
        <v>633</v>
      </c>
      <c r="D198" s="25" t="s">
        <v>634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16940</f>
        <v>16940</v>
      </c>
      <c r="L198" s="32" t="s">
        <v>904</v>
      </c>
      <c r="M198" s="31">
        <f>17470</f>
        <v>17470</v>
      </c>
      <c r="N198" s="32" t="s">
        <v>907</v>
      </c>
      <c r="O198" s="31">
        <f>14830</f>
        <v>14830</v>
      </c>
      <c r="P198" s="32" t="s">
        <v>819</v>
      </c>
      <c r="Q198" s="31">
        <f>15760</f>
        <v>15760</v>
      </c>
      <c r="R198" s="32" t="s">
        <v>934</v>
      </c>
      <c r="S198" s="33">
        <f>16112.95</f>
        <v>16112.95</v>
      </c>
      <c r="T198" s="30">
        <f>24687</f>
        <v>24687</v>
      </c>
      <c r="U198" s="30" t="str">
        <f>"－"</f>
        <v>－</v>
      </c>
      <c r="V198" s="30">
        <f>397701905</f>
        <v>397701905</v>
      </c>
      <c r="W198" s="30" t="str">
        <f>"－"</f>
        <v>－</v>
      </c>
      <c r="X198" s="34">
        <f>22</f>
        <v>22</v>
      </c>
    </row>
    <row r="199" spans="1:24" x14ac:dyDescent="0.15">
      <c r="A199" s="25" t="s">
        <v>979</v>
      </c>
      <c r="B199" s="25" t="s">
        <v>635</v>
      </c>
      <c r="C199" s="25" t="s">
        <v>636</v>
      </c>
      <c r="D199" s="25" t="s">
        <v>637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4585</f>
        <v>4585</v>
      </c>
      <c r="L199" s="32" t="s">
        <v>904</v>
      </c>
      <c r="M199" s="31">
        <f>5180</f>
        <v>5180</v>
      </c>
      <c r="N199" s="32" t="s">
        <v>935</v>
      </c>
      <c r="O199" s="31">
        <f>4505</f>
        <v>4505</v>
      </c>
      <c r="P199" s="32" t="s">
        <v>907</v>
      </c>
      <c r="Q199" s="31">
        <f>4985</f>
        <v>4985</v>
      </c>
      <c r="R199" s="32" t="s">
        <v>934</v>
      </c>
      <c r="S199" s="33">
        <f>4892.73</f>
        <v>4892.7299999999996</v>
      </c>
      <c r="T199" s="30">
        <f>6528</f>
        <v>6528</v>
      </c>
      <c r="U199" s="30" t="str">
        <f>"－"</f>
        <v>－</v>
      </c>
      <c r="V199" s="30">
        <f>32460260</f>
        <v>32460260</v>
      </c>
      <c r="W199" s="30" t="str">
        <f>"－"</f>
        <v>－</v>
      </c>
      <c r="X199" s="34">
        <f>22</f>
        <v>22</v>
      </c>
    </row>
    <row r="200" spans="1:24" x14ac:dyDescent="0.15">
      <c r="A200" s="25" t="s">
        <v>979</v>
      </c>
      <c r="B200" s="25" t="s">
        <v>638</v>
      </c>
      <c r="C200" s="25" t="s">
        <v>639</v>
      </c>
      <c r="D200" s="25" t="s">
        <v>640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14245</f>
        <v>14245</v>
      </c>
      <c r="L200" s="32" t="s">
        <v>909</v>
      </c>
      <c r="M200" s="31">
        <f>15195</f>
        <v>15195</v>
      </c>
      <c r="N200" s="32" t="s">
        <v>911</v>
      </c>
      <c r="O200" s="31">
        <f>14185</f>
        <v>14185</v>
      </c>
      <c r="P200" s="32" t="s">
        <v>907</v>
      </c>
      <c r="Q200" s="31">
        <f>14780</f>
        <v>14780</v>
      </c>
      <c r="R200" s="32" t="s">
        <v>934</v>
      </c>
      <c r="S200" s="33">
        <f>14728.75</f>
        <v>14728.75</v>
      </c>
      <c r="T200" s="30">
        <f>3055</f>
        <v>3055</v>
      </c>
      <c r="U200" s="30" t="str">
        <f>"－"</f>
        <v>－</v>
      </c>
      <c r="V200" s="30">
        <f>45567820</f>
        <v>45567820</v>
      </c>
      <c r="W200" s="30" t="str">
        <f>"－"</f>
        <v>－</v>
      </c>
      <c r="X200" s="34">
        <f>20</f>
        <v>20</v>
      </c>
    </row>
    <row r="201" spans="1:24" x14ac:dyDescent="0.15">
      <c r="A201" s="25" t="s">
        <v>979</v>
      </c>
      <c r="B201" s="25" t="s">
        <v>641</v>
      </c>
      <c r="C201" s="25" t="s">
        <v>642</v>
      </c>
      <c r="D201" s="25" t="s">
        <v>643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12720</f>
        <v>12720</v>
      </c>
      <c r="L201" s="32" t="s">
        <v>905</v>
      </c>
      <c r="M201" s="31">
        <f>12720</f>
        <v>12720</v>
      </c>
      <c r="N201" s="32" t="s">
        <v>905</v>
      </c>
      <c r="O201" s="31">
        <f>11905</f>
        <v>11905</v>
      </c>
      <c r="P201" s="32" t="s">
        <v>87</v>
      </c>
      <c r="Q201" s="31">
        <f>12005</f>
        <v>12005</v>
      </c>
      <c r="R201" s="32" t="s">
        <v>908</v>
      </c>
      <c r="S201" s="33">
        <f>12243.75</f>
        <v>12243.75</v>
      </c>
      <c r="T201" s="30">
        <f>15</f>
        <v>15</v>
      </c>
      <c r="U201" s="30" t="str">
        <f>"－"</f>
        <v>－</v>
      </c>
      <c r="V201" s="30">
        <f>184085</f>
        <v>184085</v>
      </c>
      <c r="W201" s="30" t="str">
        <f>"－"</f>
        <v>－</v>
      </c>
      <c r="X201" s="34">
        <f>4</f>
        <v>4</v>
      </c>
    </row>
    <row r="202" spans="1:24" x14ac:dyDescent="0.15">
      <c r="A202" s="25" t="s">
        <v>979</v>
      </c>
      <c r="B202" s="25" t="s">
        <v>644</v>
      </c>
      <c r="C202" s="25" t="s">
        <v>645</v>
      </c>
      <c r="D202" s="25" t="s">
        <v>646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16200</f>
        <v>16200</v>
      </c>
      <c r="L202" s="32" t="s">
        <v>904</v>
      </c>
      <c r="M202" s="31">
        <f>17440</f>
        <v>17440</v>
      </c>
      <c r="N202" s="32" t="s">
        <v>934</v>
      </c>
      <c r="O202" s="31">
        <f>16200</f>
        <v>16200</v>
      </c>
      <c r="P202" s="32" t="s">
        <v>904</v>
      </c>
      <c r="Q202" s="31">
        <f>17440</f>
        <v>17440</v>
      </c>
      <c r="R202" s="32" t="s">
        <v>934</v>
      </c>
      <c r="S202" s="33">
        <f>16930</f>
        <v>16930</v>
      </c>
      <c r="T202" s="30">
        <f>8873</f>
        <v>8873</v>
      </c>
      <c r="U202" s="30">
        <f>7900</f>
        <v>7900</v>
      </c>
      <c r="V202" s="30">
        <f>153876410</f>
        <v>153876410</v>
      </c>
      <c r="W202" s="30">
        <f>137460000</f>
        <v>137460000</v>
      </c>
      <c r="X202" s="34">
        <f>11</f>
        <v>11</v>
      </c>
    </row>
    <row r="203" spans="1:24" x14ac:dyDescent="0.15">
      <c r="A203" s="25" t="s">
        <v>979</v>
      </c>
      <c r="B203" s="25" t="s">
        <v>647</v>
      </c>
      <c r="C203" s="25" t="s">
        <v>648</v>
      </c>
      <c r="D203" s="25" t="s">
        <v>649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16220</f>
        <v>16220</v>
      </c>
      <c r="L203" s="32" t="s">
        <v>935</v>
      </c>
      <c r="M203" s="31">
        <f>16220</f>
        <v>16220</v>
      </c>
      <c r="N203" s="32" t="s">
        <v>935</v>
      </c>
      <c r="O203" s="31">
        <f>16220</f>
        <v>16220</v>
      </c>
      <c r="P203" s="32" t="s">
        <v>935</v>
      </c>
      <c r="Q203" s="31">
        <f>16220</f>
        <v>16220</v>
      </c>
      <c r="R203" s="32" t="s">
        <v>94</v>
      </c>
      <c r="S203" s="33">
        <f>16220</f>
        <v>16220</v>
      </c>
      <c r="T203" s="30">
        <f>88</f>
        <v>88</v>
      </c>
      <c r="U203" s="30" t="str">
        <f>"－"</f>
        <v>－</v>
      </c>
      <c r="V203" s="30">
        <f>1427360</f>
        <v>1427360</v>
      </c>
      <c r="W203" s="30" t="str">
        <f>"－"</f>
        <v>－</v>
      </c>
      <c r="X203" s="34">
        <f>2</f>
        <v>2</v>
      </c>
    </row>
    <row r="204" spans="1:24" x14ac:dyDescent="0.15">
      <c r="A204" s="25" t="s">
        <v>979</v>
      </c>
      <c r="B204" s="25" t="s">
        <v>650</v>
      </c>
      <c r="C204" s="25" t="s">
        <v>651</v>
      </c>
      <c r="D204" s="25" t="s">
        <v>652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13070</f>
        <v>13070</v>
      </c>
      <c r="L204" s="32" t="s">
        <v>904</v>
      </c>
      <c r="M204" s="31">
        <f>13550</f>
        <v>13550</v>
      </c>
      <c r="N204" s="32" t="s">
        <v>911</v>
      </c>
      <c r="O204" s="31">
        <f>12720</f>
        <v>12720</v>
      </c>
      <c r="P204" s="32" t="s">
        <v>66</v>
      </c>
      <c r="Q204" s="31">
        <f>12975</f>
        <v>12975</v>
      </c>
      <c r="R204" s="32" t="s">
        <v>94</v>
      </c>
      <c r="S204" s="33">
        <f>13117.14</f>
        <v>13117.14</v>
      </c>
      <c r="T204" s="30">
        <f>2521</f>
        <v>2521</v>
      </c>
      <c r="U204" s="30">
        <f>1</f>
        <v>1</v>
      </c>
      <c r="V204" s="30">
        <f>33704080</f>
        <v>33704080</v>
      </c>
      <c r="W204" s="30">
        <f>12920</f>
        <v>12920</v>
      </c>
      <c r="X204" s="34">
        <f>14</f>
        <v>14</v>
      </c>
    </row>
    <row r="205" spans="1:24" x14ac:dyDescent="0.15">
      <c r="A205" s="25" t="s">
        <v>979</v>
      </c>
      <c r="B205" s="25" t="s">
        <v>653</v>
      </c>
      <c r="C205" s="25" t="s">
        <v>654</v>
      </c>
      <c r="D205" s="25" t="s">
        <v>655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14675</f>
        <v>14675</v>
      </c>
      <c r="L205" s="32" t="s">
        <v>94</v>
      </c>
      <c r="M205" s="31">
        <f>14675</f>
        <v>14675</v>
      </c>
      <c r="N205" s="32" t="s">
        <v>94</v>
      </c>
      <c r="O205" s="31">
        <f>14675</f>
        <v>14675</v>
      </c>
      <c r="P205" s="32" t="s">
        <v>94</v>
      </c>
      <c r="Q205" s="31">
        <f>14675</f>
        <v>14675</v>
      </c>
      <c r="R205" s="32" t="s">
        <v>94</v>
      </c>
      <c r="S205" s="33">
        <f>14675</f>
        <v>14675</v>
      </c>
      <c r="T205" s="30">
        <f>1</f>
        <v>1</v>
      </c>
      <c r="U205" s="30" t="str">
        <f t="shared" ref="U205:U210" si="7">"－"</f>
        <v>－</v>
      </c>
      <c r="V205" s="30">
        <f>14675</f>
        <v>14675</v>
      </c>
      <c r="W205" s="30" t="str">
        <f t="shared" ref="W205:W210" si="8">"－"</f>
        <v>－</v>
      </c>
      <c r="X205" s="34">
        <f>1</f>
        <v>1</v>
      </c>
    </row>
    <row r="206" spans="1:24" x14ac:dyDescent="0.15">
      <c r="A206" s="25" t="s">
        <v>979</v>
      </c>
      <c r="B206" s="25" t="s">
        <v>656</v>
      </c>
      <c r="C206" s="25" t="s">
        <v>657</v>
      </c>
      <c r="D206" s="25" t="s">
        <v>658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13310</f>
        <v>13310</v>
      </c>
      <c r="L206" s="32" t="s">
        <v>905</v>
      </c>
      <c r="M206" s="31">
        <f>13310</f>
        <v>13310</v>
      </c>
      <c r="N206" s="32" t="s">
        <v>905</v>
      </c>
      <c r="O206" s="31">
        <f>13310</f>
        <v>13310</v>
      </c>
      <c r="P206" s="32" t="s">
        <v>905</v>
      </c>
      <c r="Q206" s="31">
        <f>13310</f>
        <v>13310</v>
      </c>
      <c r="R206" s="32" t="s">
        <v>905</v>
      </c>
      <c r="S206" s="33">
        <f>13310</f>
        <v>13310</v>
      </c>
      <c r="T206" s="30">
        <f>1</f>
        <v>1</v>
      </c>
      <c r="U206" s="30" t="str">
        <f t="shared" si="7"/>
        <v>－</v>
      </c>
      <c r="V206" s="30">
        <f>13310</f>
        <v>13310</v>
      </c>
      <c r="W206" s="30" t="str">
        <f t="shared" si="8"/>
        <v>－</v>
      </c>
      <c r="X206" s="34">
        <f>1</f>
        <v>1</v>
      </c>
    </row>
    <row r="207" spans="1:24" x14ac:dyDescent="0.15">
      <c r="A207" s="25" t="s">
        <v>979</v>
      </c>
      <c r="B207" s="25" t="s">
        <v>659</v>
      </c>
      <c r="C207" s="25" t="s">
        <v>660</v>
      </c>
      <c r="D207" s="25" t="s">
        <v>661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9243</f>
        <v>9243</v>
      </c>
      <c r="L207" s="32" t="s">
        <v>904</v>
      </c>
      <c r="M207" s="31">
        <f>9538</f>
        <v>9538</v>
      </c>
      <c r="N207" s="32" t="s">
        <v>911</v>
      </c>
      <c r="O207" s="31">
        <f>8986</f>
        <v>8986</v>
      </c>
      <c r="P207" s="32" t="s">
        <v>908</v>
      </c>
      <c r="Q207" s="31">
        <f>9269</f>
        <v>9269</v>
      </c>
      <c r="R207" s="32" t="s">
        <v>934</v>
      </c>
      <c r="S207" s="33">
        <f>9284.75</f>
        <v>9284.75</v>
      </c>
      <c r="T207" s="30">
        <f>8333</f>
        <v>8333</v>
      </c>
      <c r="U207" s="30" t="str">
        <f t="shared" si="7"/>
        <v>－</v>
      </c>
      <c r="V207" s="30">
        <f>77992442</f>
        <v>77992442</v>
      </c>
      <c r="W207" s="30" t="str">
        <f t="shared" si="8"/>
        <v>－</v>
      </c>
      <c r="X207" s="34">
        <f>12</f>
        <v>12</v>
      </c>
    </row>
    <row r="208" spans="1:24" x14ac:dyDescent="0.15">
      <c r="A208" s="25" t="s">
        <v>979</v>
      </c>
      <c r="B208" s="25" t="s">
        <v>662</v>
      </c>
      <c r="C208" s="25" t="s">
        <v>663</v>
      </c>
      <c r="D208" s="25" t="s">
        <v>664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10040</f>
        <v>10040</v>
      </c>
      <c r="L208" s="32" t="s">
        <v>904</v>
      </c>
      <c r="M208" s="31">
        <f>10285</f>
        <v>10285</v>
      </c>
      <c r="N208" s="32" t="s">
        <v>911</v>
      </c>
      <c r="O208" s="31">
        <f>9202</f>
        <v>9202</v>
      </c>
      <c r="P208" s="32" t="s">
        <v>87</v>
      </c>
      <c r="Q208" s="31">
        <f>9563</f>
        <v>9563</v>
      </c>
      <c r="R208" s="32" t="s">
        <v>934</v>
      </c>
      <c r="S208" s="33">
        <f>9763.55</f>
        <v>9763.5499999999993</v>
      </c>
      <c r="T208" s="30">
        <f>68246</f>
        <v>68246</v>
      </c>
      <c r="U208" s="30" t="str">
        <f t="shared" si="7"/>
        <v>－</v>
      </c>
      <c r="V208" s="30">
        <f>662780311</f>
        <v>662780311</v>
      </c>
      <c r="W208" s="30" t="str">
        <f t="shared" si="8"/>
        <v>－</v>
      </c>
      <c r="X208" s="34">
        <f>22</f>
        <v>22</v>
      </c>
    </row>
    <row r="209" spans="1:24" x14ac:dyDescent="0.15">
      <c r="A209" s="25" t="s">
        <v>979</v>
      </c>
      <c r="B209" s="25" t="s">
        <v>665</v>
      </c>
      <c r="C209" s="25" t="s">
        <v>666</v>
      </c>
      <c r="D209" s="25" t="s">
        <v>667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9334</f>
        <v>9334</v>
      </c>
      <c r="L209" s="32" t="s">
        <v>904</v>
      </c>
      <c r="M209" s="31">
        <f>9455</f>
        <v>9455</v>
      </c>
      <c r="N209" s="32" t="s">
        <v>911</v>
      </c>
      <c r="O209" s="31">
        <f>8678</f>
        <v>8678</v>
      </c>
      <c r="P209" s="32" t="s">
        <v>87</v>
      </c>
      <c r="Q209" s="31">
        <f>9228</f>
        <v>9228</v>
      </c>
      <c r="R209" s="32" t="s">
        <v>934</v>
      </c>
      <c r="S209" s="33">
        <f>9153.21</f>
        <v>9153.2099999999991</v>
      </c>
      <c r="T209" s="30">
        <f>12032</f>
        <v>12032</v>
      </c>
      <c r="U209" s="30" t="str">
        <f t="shared" si="7"/>
        <v>－</v>
      </c>
      <c r="V209" s="30">
        <f>109874873</f>
        <v>109874873</v>
      </c>
      <c r="W209" s="30" t="str">
        <f t="shared" si="8"/>
        <v>－</v>
      </c>
      <c r="X209" s="34">
        <f>14</f>
        <v>14</v>
      </c>
    </row>
    <row r="210" spans="1:24" x14ac:dyDescent="0.15">
      <c r="A210" s="25" t="s">
        <v>979</v>
      </c>
      <c r="B210" s="25" t="s">
        <v>945</v>
      </c>
      <c r="C210" s="25" t="s">
        <v>946</v>
      </c>
      <c r="D210" s="25" t="s">
        <v>947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10015</f>
        <v>10015</v>
      </c>
      <c r="L210" s="32" t="s">
        <v>904</v>
      </c>
      <c r="M210" s="31">
        <f>10015</f>
        <v>10015</v>
      </c>
      <c r="N210" s="32" t="s">
        <v>904</v>
      </c>
      <c r="O210" s="31">
        <f>8997</f>
        <v>8997</v>
      </c>
      <c r="P210" s="32" t="s">
        <v>87</v>
      </c>
      <c r="Q210" s="31">
        <f>9466</f>
        <v>9466</v>
      </c>
      <c r="R210" s="32" t="s">
        <v>94</v>
      </c>
      <c r="S210" s="33">
        <f>9474.33</f>
        <v>9474.33</v>
      </c>
      <c r="T210" s="30">
        <f>356</f>
        <v>356</v>
      </c>
      <c r="U210" s="30" t="str">
        <f t="shared" si="7"/>
        <v>－</v>
      </c>
      <c r="V210" s="30">
        <f>3352107</f>
        <v>3352107</v>
      </c>
      <c r="W210" s="30" t="str">
        <f t="shared" si="8"/>
        <v>－</v>
      </c>
      <c r="X210" s="34">
        <f>6</f>
        <v>6</v>
      </c>
    </row>
    <row r="211" spans="1:24" x14ac:dyDescent="0.15">
      <c r="A211" s="25" t="s">
        <v>979</v>
      </c>
      <c r="B211" s="25" t="s">
        <v>668</v>
      </c>
      <c r="C211" s="25" t="s">
        <v>669</v>
      </c>
      <c r="D211" s="25" t="s">
        <v>670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973</f>
        <v>973</v>
      </c>
      <c r="L211" s="32" t="s">
        <v>904</v>
      </c>
      <c r="M211" s="31">
        <f>973.3</f>
        <v>973.3</v>
      </c>
      <c r="N211" s="32" t="s">
        <v>909</v>
      </c>
      <c r="O211" s="31">
        <f>954.9</f>
        <v>954.9</v>
      </c>
      <c r="P211" s="32" t="s">
        <v>915</v>
      </c>
      <c r="Q211" s="31">
        <f>961.5</f>
        <v>961.5</v>
      </c>
      <c r="R211" s="32" t="s">
        <v>934</v>
      </c>
      <c r="S211" s="33">
        <f>964.5</f>
        <v>964.5</v>
      </c>
      <c r="T211" s="30">
        <f>2931550</f>
        <v>2931550</v>
      </c>
      <c r="U211" s="30">
        <f>1591110</f>
        <v>1591110</v>
      </c>
      <c r="V211" s="30">
        <f>2827007634</f>
        <v>2827007634</v>
      </c>
      <c r="W211" s="30">
        <f>1533917136</f>
        <v>1533917136</v>
      </c>
      <c r="X211" s="34">
        <f>22</f>
        <v>22</v>
      </c>
    </row>
    <row r="212" spans="1:24" x14ac:dyDescent="0.15">
      <c r="A212" s="25" t="s">
        <v>979</v>
      </c>
      <c r="B212" s="25" t="s">
        <v>671</v>
      </c>
      <c r="C212" s="25" t="s">
        <v>672</v>
      </c>
      <c r="D212" s="25" t="s">
        <v>673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1000</f>
        <v>1000</v>
      </c>
      <c r="L212" s="32" t="s">
        <v>904</v>
      </c>
      <c r="M212" s="31">
        <f>1032</f>
        <v>1032</v>
      </c>
      <c r="N212" s="32" t="s">
        <v>911</v>
      </c>
      <c r="O212" s="31">
        <f>989.2</f>
        <v>989.2</v>
      </c>
      <c r="P212" s="32" t="s">
        <v>695</v>
      </c>
      <c r="Q212" s="31">
        <f>1026.5</f>
        <v>1026.5</v>
      </c>
      <c r="R212" s="32" t="s">
        <v>934</v>
      </c>
      <c r="S212" s="33">
        <f>1012.82</f>
        <v>1012.82</v>
      </c>
      <c r="T212" s="30">
        <f>2707850</f>
        <v>2707850</v>
      </c>
      <c r="U212" s="30">
        <f>1728280</f>
        <v>1728280</v>
      </c>
      <c r="V212" s="30">
        <f>2752246300</f>
        <v>2752246300</v>
      </c>
      <c r="W212" s="30">
        <f>1761715621</f>
        <v>1761715621</v>
      </c>
      <c r="X212" s="34">
        <f>22</f>
        <v>22</v>
      </c>
    </row>
    <row r="213" spans="1:24" x14ac:dyDescent="0.15">
      <c r="A213" s="25" t="s">
        <v>979</v>
      </c>
      <c r="B213" s="25" t="s">
        <v>674</v>
      </c>
      <c r="C213" s="25" t="s">
        <v>675</v>
      </c>
      <c r="D213" s="25" t="s">
        <v>676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908</f>
        <v>908</v>
      </c>
      <c r="L213" s="32" t="s">
        <v>904</v>
      </c>
      <c r="M213" s="31">
        <f>909</f>
        <v>909</v>
      </c>
      <c r="N213" s="32" t="s">
        <v>909</v>
      </c>
      <c r="O213" s="31">
        <f>868.1</f>
        <v>868.1</v>
      </c>
      <c r="P213" s="32" t="s">
        <v>915</v>
      </c>
      <c r="Q213" s="31">
        <f>888.5</f>
        <v>888.5</v>
      </c>
      <c r="R213" s="32" t="s">
        <v>934</v>
      </c>
      <c r="S213" s="33">
        <f>888.25</f>
        <v>888.25</v>
      </c>
      <c r="T213" s="30">
        <f>13094010</f>
        <v>13094010</v>
      </c>
      <c r="U213" s="30">
        <f>9927120</f>
        <v>9927120</v>
      </c>
      <c r="V213" s="30">
        <f>11529631696</f>
        <v>11529631696</v>
      </c>
      <c r="W213" s="30">
        <f>8746636111</f>
        <v>8746636111</v>
      </c>
      <c r="X213" s="34">
        <f>22</f>
        <v>22</v>
      </c>
    </row>
    <row r="214" spans="1:24" x14ac:dyDescent="0.15">
      <c r="A214" s="25" t="s">
        <v>979</v>
      </c>
      <c r="B214" s="25" t="s">
        <v>677</v>
      </c>
      <c r="C214" s="25" t="s">
        <v>678</v>
      </c>
      <c r="D214" s="25" t="s">
        <v>679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1646.5</f>
        <v>1646.5</v>
      </c>
      <c r="L214" s="32" t="s">
        <v>904</v>
      </c>
      <c r="M214" s="31">
        <f>1708</f>
        <v>1708</v>
      </c>
      <c r="N214" s="32" t="s">
        <v>911</v>
      </c>
      <c r="O214" s="31">
        <f>1513</f>
        <v>1513</v>
      </c>
      <c r="P214" s="32" t="s">
        <v>819</v>
      </c>
      <c r="Q214" s="31">
        <f>1590</f>
        <v>1590</v>
      </c>
      <c r="R214" s="32" t="s">
        <v>934</v>
      </c>
      <c r="S214" s="33">
        <f>1612.18</f>
        <v>1612.18</v>
      </c>
      <c r="T214" s="30">
        <f>1892050</f>
        <v>1892050</v>
      </c>
      <c r="U214" s="30">
        <f>1474730</f>
        <v>1474730</v>
      </c>
      <c r="V214" s="30">
        <f>2983410349</f>
        <v>2983410349</v>
      </c>
      <c r="W214" s="30">
        <f>2322457989</f>
        <v>2322457989</v>
      </c>
      <c r="X214" s="34">
        <f>22</f>
        <v>22</v>
      </c>
    </row>
    <row r="215" spans="1:24" x14ac:dyDescent="0.15">
      <c r="A215" s="25" t="s">
        <v>979</v>
      </c>
      <c r="B215" s="25" t="s">
        <v>680</v>
      </c>
      <c r="C215" s="25" t="s">
        <v>681</v>
      </c>
      <c r="D215" s="25" t="s">
        <v>682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1402</f>
        <v>1402</v>
      </c>
      <c r="L215" s="32" t="s">
        <v>904</v>
      </c>
      <c r="M215" s="31">
        <f>1409.5</f>
        <v>1409.5</v>
      </c>
      <c r="N215" s="32" t="s">
        <v>907</v>
      </c>
      <c r="O215" s="31">
        <f>1235.5</f>
        <v>1235.5</v>
      </c>
      <c r="P215" s="32" t="s">
        <v>87</v>
      </c>
      <c r="Q215" s="31">
        <f>1276</f>
        <v>1276</v>
      </c>
      <c r="R215" s="32" t="s">
        <v>934</v>
      </c>
      <c r="S215" s="33">
        <f>1317.91</f>
        <v>1317.91</v>
      </c>
      <c r="T215" s="30">
        <f>1916290</f>
        <v>1916290</v>
      </c>
      <c r="U215" s="30">
        <f>1417570</f>
        <v>1417570</v>
      </c>
      <c r="V215" s="30">
        <f>2475834324</f>
        <v>2475834324</v>
      </c>
      <c r="W215" s="30">
        <f>1818047639</f>
        <v>1818047639</v>
      </c>
      <c r="X215" s="34">
        <f>22</f>
        <v>22</v>
      </c>
    </row>
    <row r="216" spans="1:24" x14ac:dyDescent="0.15">
      <c r="A216" s="25" t="s">
        <v>979</v>
      </c>
      <c r="B216" s="25" t="s">
        <v>683</v>
      </c>
      <c r="C216" s="25" t="s">
        <v>684</v>
      </c>
      <c r="D216" s="25" t="s">
        <v>685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1290</f>
        <v>1290</v>
      </c>
      <c r="L216" s="32" t="s">
        <v>904</v>
      </c>
      <c r="M216" s="31">
        <f>1319.5</f>
        <v>1319.5</v>
      </c>
      <c r="N216" s="32" t="s">
        <v>912</v>
      </c>
      <c r="O216" s="31">
        <f>1173</f>
        <v>1173</v>
      </c>
      <c r="P216" s="32" t="s">
        <v>819</v>
      </c>
      <c r="Q216" s="31">
        <f>1243</f>
        <v>1243</v>
      </c>
      <c r="R216" s="32" t="s">
        <v>934</v>
      </c>
      <c r="S216" s="33">
        <f>1247.18</f>
        <v>1247.18</v>
      </c>
      <c r="T216" s="30">
        <f>1057900</f>
        <v>1057900</v>
      </c>
      <c r="U216" s="30">
        <f>524080</f>
        <v>524080</v>
      </c>
      <c r="V216" s="30">
        <f>1290668152</f>
        <v>1290668152</v>
      </c>
      <c r="W216" s="30">
        <f>626060692</f>
        <v>626060692</v>
      </c>
      <c r="X216" s="34">
        <f>22</f>
        <v>22</v>
      </c>
    </row>
    <row r="217" spans="1:24" x14ac:dyDescent="0.15">
      <c r="A217" s="25" t="s">
        <v>979</v>
      </c>
      <c r="B217" s="25" t="s">
        <v>686</v>
      </c>
      <c r="C217" s="25" t="s">
        <v>687</v>
      </c>
      <c r="D217" s="25" t="s">
        <v>688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526</f>
        <v>526</v>
      </c>
      <c r="L217" s="32" t="s">
        <v>904</v>
      </c>
      <c r="M217" s="31">
        <f>540.5</f>
        <v>540.5</v>
      </c>
      <c r="N217" s="32" t="s">
        <v>911</v>
      </c>
      <c r="O217" s="31">
        <f>468.4</f>
        <v>468.4</v>
      </c>
      <c r="P217" s="32" t="s">
        <v>87</v>
      </c>
      <c r="Q217" s="31">
        <f>508.8</f>
        <v>508.8</v>
      </c>
      <c r="R217" s="32" t="s">
        <v>934</v>
      </c>
      <c r="S217" s="33">
        <f>507.53</f>
        <v>507.53</v>
      </c>
      <c r="T217" s="30">
        <f>61278180</f>
        <v>61278180</v>
      </c>
      <c r="U217" s="30">
        <f>3870</f>
        <v>3870</v>
      </c>
      <c r="V217" s="30">
        <f>31093200121</f>
        <v>31093200121</v>
      </c>
      <c r="W217" s="30">
        <f>1949792</f>
        <v>1949792</v>
      </c>
      <c r="X217" s="34">
        <f>22</f>
        <v>22</v>
      </c>
    </row>
    <row r="218" spans="1:24" x14ac:dyDescent="0.15">
      <c r="A218" s="25" t="s">
        <v>979</v>
      </c>
      <c r="B218" s="25" t="s">
        <v>689</v>
      </c>
      <c r="C218" s="25" t="s">
        <v>690</v>
      </c>
      <c r="D218" s="25" t="s">
        <v>691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1177</f>
        <v>1177</v>
      </c>
      <c r="L218" s="32" t="s">
        <v>904</v>
      </c>
      <c r="M218" s="31">
        <f>1185</f>
        <v>1185</v>
      </c>
      <c r="N218" s="32" t="s">
        <v>911</v>
      </c>
      <c r="O218" s="31">
        <f>1104</f>
        <v>1104</v>
      </c>
      <c r="P218" s="32" t="s">
        <v>915</v>
      </c>
      <c r="Q218" s="31">
        <f>1161.5</f>
        <v>1161.5</v>
      </c>
      <c r="R218" s="32" t="s">
        <v>934</v>
      </c>
      <c r="S218" s="33">
        <f>1149.86</f>
        <v>1149.8599999999999</v>
      </c>
      <c r="T218" s="30">
        <f>83670</f>
        <v>83670</v>
      </c>
      <c r="U218" s="30">
        <f>15000</f>
        <v>15000</v>
      </c>
      <c r="V218" s="30">
        <f>94586875</f>
        <v>94586875</v>
      </c>
      <c r="W218" s="30">
        <f>16816350</f>
        <v>16816350</v>
      </c>
      <c r="X218" s="34">
        <f>22</f>
        <v>22</v>
      </c>
    </row>
    <row r="219" spans="1:24" x14ac:dyDescent="0.15">
      <c r="A219" s="25" t="s">
        <v>979</v>
      </c>
      <c r="B219" s="25" t="s">
        <v>692</v>
      </c>
      <c r="C219" s="25" t="s">
        <v>693</v>
      </c>
      <c r="D219" s="25" t="s">
        <v>694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1084</f>
        <v>1084</v>
      </c>
      <c r="L219" s="32" t="s">
        <v>904</v>
      </c>
      <c r="M219" s="31">
        <f>1116</f>
        <v>1116</v>
      </c>
      <c r="N219" s="32" t="s">
        <v>911</v>
      </c>
      <c r="O219" s="31">
        <f>1009</f>
        <v>1009</v>
      </c>
      <c r="P219" s="32" t="s">
        <v>87</v>
      </c>
      <c r="Q219" s="31">
        <f>1042</f>
        <v>1042</v>
      </c>
      <c r="R219" s="32" t="s">
        <v>934</v>
      </c>
      <c r="S219" s="33">
        <f>1063</f>
        <v>1063</v>
      </c>
      <c r="T219" s="30">
        <f>58877</f>
        <v>58877</v>
      </c>
      <c r="U219" s="30" t="str">
        <f>"－"</f>
        <v>－</v>
      </c>
      <c r="V219" s="30">
        <f>61451496</f>
        <v>61451496</v>
      </c>
      <c r="W219" s="30" t="str">
        <f>"－"</f>
        <v>－</v>
      </c>
      <c r="X219" s="34">
        <f>22</f>
        <v>22</v>
      </c>
    </row>
    <row r="220" spans="1:24" x14ac:dyDescent="0.15">
      <c r="A220" s="25" t="s">
        <v>979</v>
      </c>
      <c r="B220" s="25" t="s">
        <v>696</v>
      </c>
      <c r="C220" s="25" t="s">
        <v>697</v>
      </c>
      <c r="D220" s="25" t="s">
        <v>698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925.9</f>
        <v>925.9</v>
      </c>
      <c r="L220" s="32" t="s">
        <v>904</v>
      </c>
      <c r="M220" s="31">
        <f>944</f>
        <v>944</v>
      </c>
      <c r="N220" s="32" t="s">
        <v>912</v>
      </c>
      <c r="O220" s="31">
        <f>890</f>
        <v>890</v>
      </c>
      <c r="P220" s="32" t="s">
        <v>819</v>
      </c>
      <c r="Q220" s="31">
        <f>911</f>
        <v>911</v>
      </c>
      <c r="R220" s="32" t="s">
        <v>934</v>
      </c>
      <c r="S220" s="33">
        <f>920.64</f>
        <v>920.64</v>
      </c>
      <c r="T220" s="30">
        <f>70360</f>
        <v>70360</v>
      </c>
      <c r="U220" s="30">
        <f>38590</f>
        <v>38590</v>
      </c>
      <c r="V220" s="30">
        <f>64251751</f>
        <v>64251751</v>
      </c>
      <c r="W220" s="30">
        <f>35116900</f>
        <v>35116900</v>
      </c>
      <c r="X220" s="34">
        <f>22</f>
        <v>22</v>
      </c>
    </row>
    <row r="221" spans="1:24" x14ac:dyDescent="0.15">
      <c r="A221" s="25" t="s">
        <v>979</v>
      </c>
      <c r="B221" s="25" t="s">
        <v>699</v>
      </c>
      <c r="C221" s="25" t="s">
        <v>700</v>
      </c>
      <c r="D221" s="25" t="s">
        <v>701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1204</f>
        <v>1204</v>
      </c>
      <c r="L221" s="32" t="s">
        <v>904</v>
      </c>
      <c r="M221" s="31">
        <f>1260</f>
        <v>1260</v>
      </c>
      <c r="N221" s="32" t="s">
        <v>911</v>
      </c>
      <c r="O221" s="31">
        <f>1145</f>
        <v>1145</v>
      </c>
      <c r="P221" s="32" t="s">
        <v>819</v>
      </c>
      <c r="Q221" s="31">
        <f>1197</f>
        <v>1197</v>
      </c>
      <c r="R221" s="32" t="s">
        <v>934</v>
      </c>
      <c r="S221" s="33">
        <f>1200.82</f>
        <v>1200.82</v>
      </c>
      <c r="T221" s="30">
        <f>86080</f>
        <v>86080</v>
      </c>
      <c r="U221" s="30">
        <f>10</f>
        <v>10</v>
      </c>
      <c r="V221" s="30">
        <f>103156095</f>
        <v>103156095</v>
      </c>
      <c r="W221" s="30">
        <f>11970</f>
        <v>11970</v>
      </c>
      <c r="X221" s="34">
        <f>22</f>
        <v>22</v>
      </c>
    </row>
    <row r="222" spans="1:24" x14ac:dyDescent="0.15">
      <c r="A222" s="25" t="s">
        <v>979</v>
      </c>
      <c r="B222" s="25" t="s">
        <v>702</v>
      </c>
      <c r="C222" s="25" t="s">
        <v>703</v>
      </c>
      <c r="D222" s="25" t="s">
        <v>704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1439</f>
        <v>1439</v>
      </c>
      <c r="L222" s="32" t="s">
        <v>904</v>
      </c>
      <c r="M222" s="31">
        <f>1452</f>
        <v>1452</v>
      </c>
      <c r="N222" s="32" t="s">
        <v>907</v>
      </c>
      <c r="O222" s="31">
        <f>1263</f>
        <v>1263</v>
      </c>
      <c r="P222" s="32" t="s">
        <v>87</v>
      </c>
      <c r="Q222" s="31">
        <f>1309</f>
        <v>1309</v>
      </c>
      <c r="R222" s="32" t="s">
        <v>934</v>
      </c>
      <c r="S222" s="33">
        <f>1351.64</f>
        <v>1351.64</v>
      </c>
      <c r="T222" s="30">
        <f>15068850</f>
        <v>15068850</v>
      </c>
      <c r="U222" s="30">
        <f>5797340</f>
        <v>5797340</v>
      </c>
      <c r="V222" s="30">
        <f>20168416746</f>
        <v>20168416746</v>
      </c>
      <c r="W222" s="30">
        <f>7675601776</f>
        <v>7675601776</v>
      </c>
      <c r="X222" s="34">
        <f>22</f>
        <v>22</v>
      </c>
    </row>
    <row r="223" spans="1:24" x14ac:dyDescent="0.15">
      <c r="A223" s="25" t="s">
        <v>979</v>
      </c>
      <c r="B223" s="25" t="s">
        <v>705</v>
      </c>
      <c r="C223" s="25" t="s">
        <v>706</v>
      </c>
      <c r="D223" s="25" t="s">
        <v>707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3585</f>
        <v>3585</v>
      </c>
      <c r="L223" s="32" t="s">
        <v>904</v>
      </c>
      <c r="M223" s="31">
        <f>3675</f>
        <v>3675</v>
      </c>
      <c r="N223" s="32" t="s">
        <v>911</v>
      </c>
      <c r="O223" s="31">
        <f>3165</f>
        <v>3165</v>
      </c>
      <c r="P223" s="32" t="s">
        <v>819</v>
      </c>
      <c r="Q223" s="31">
        <f>3315</f>
        <v>3315</v>
      </c>
      <c r="R223" s="32" t="s">
        <v>934</v>
      </c>
      <c r="S223" s="33">
        <f>3427.05</f>
        <v>3427.05</v>
      </c>
      <c r="T223" s="30">
        <f>117611</f>
        <v>117611</v>
      </c>
      <c r="U223" s="30" t="str">
        <f>"－"</f>
        <v>－</v>
      </c>
      <c r="V223" s="30">
        <f>395731890</f>
        <v>395731890</v>
      </c>
      <c r="W223" s="30" t="str">
        <f>"－"</f>
        <v>－</v>
      </c>
      <c r="X223" s="34">
        <f>22</f>
        <v>22</v>
      </c>
    </row>
    <row r="224" spans="1:24" x14ac:dyDescent="0.15">
      <c r="A224" s="25" t="s">
        <v>979</v>
      </c>
      <c r="B224" s="25" t="s">
        <v>708</v>
      </c>
      <c r="C224" s="25" t="s">
        <v>709</v>
      </c>
      <c r="D224" s="25" t="s">
        <v>710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1609</f>
        <v>1609</v>
      </c>
      <c r="L224" s="32" t="s">
        <v>904</v>
      </c>
      <c r="M224" s="31">
        <f>1636.5</f>
        <v>1636.5</v>
      </c>
      <c r="N224" s="32" t="s">
        <v>911</v>
      </c>
      <c r="O224" s="31">
        <f>1440</f>
        <v>1440</v>
      </c>
      <c r="P224" s="32" t="s">
        <v>87</v>
      </c>
      <c r="Q224" s="31">
        <f>1490</f>
        <v>1490</v>
      </c>
      <c r="R224" s="32" t="s">
        <v>934</v>
      </c>
      <c r="S224" s="33">
        <f>1543.9</f>
        <v>1543.9</v>
      </c>
      <c r="T224" s="30">
        <f>7480</f>
        <v>7480</v>
      </c>
      <c r="U224" s="30" t="str">
        <f>"－"</f>
        <v>－</v>
      </c>
      <c r="V224" s="30">
        <f>11205185</f>
        <v>11205185</v>
      </c>
      <c r="W224" s="30" t="str">
        <f>"－"</f>
        <v>－</v>
      </c>
      <c r="X224" s="34">
        <f>20</f>
        <v>20</v>
      </c>
    </row>
    <row r="225" spans="1:24" x14ac:dyDescent="0.15">
      <c r="A225" s="25" t="s">
        <v>979</v>
      </c>
      <c r="B225" s="25" t="s">
        <v>711</v>
      </c>
      <c r="C225" s="25" t="s">
        <v>712</v>
      </c>
      <c r="D225" s="25" t="s">
        <v>713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1965</f>
        <v>1965</v>
      </c>
      <c r="L225" s="32" t="s">
        <v>904</v>
      </c>
      <c r="M225" s="31">
        <f>2018.5</f>
        <v>2018.5</v>
      </c>
      <c r="N225" s="32" t="s">
        <v>912</v>
      </c>
      <c r="O225" s="31">
        <f>1862</f>
        <v>1862</v>
      </c>
      <c r="P225" s="32" t="s">
        <v>87</v>
      </c>
      <c r="Q225" s="31">
        <f>1921.5</f>
        <v>1921.5</v>
      </c>
      <c r="R225" s="32" t="s">
        <v>934</v>
      </c>
      <c r="S225" s="33">
        <f>1940.69</f>
        <v>1940.69</v>
      </c>
      <c r="T225" s="30">
        <f>797090</f>
        <v>797090</v>
      </c>
      <c r="U225" s="30" t="str">
        <f>"－"</f>
        <v>－</v>
      </c>
      <c r="V225" s="30">
        <f>1537653295</f>
        <v>1537653295</v>
      </c>
      <c r="W225" s="30" t="str">
        <f>"－"</f>
        <v>－</v>
      </c>
      <c r="X225" s="34">
        <f>18</f>
        <v>18</v>
      </c>
    </row>
    <row r="226" spans="1:24" x14ac:dyDescent="0.15">
      <c r="A226" s="25" t="s">
        <v>979</v>
      </c>
      <c r="B226" s="25" t="s">
        <v>714</v>
      </c>
      <c r="C226" s="25" t="s">
        <v>715</v>
      </c>
      <c r="D226" s="25" t="s">
        <v>716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27740</f>
        <v>27740</v>
      </c>
      <c r="L226" s="32" t="s">
        <v>904</v>
      </c>
      <c r="M226" s="31">
        <f>28740</f>
        <v>28740</v>
      </c>
      <c r="N226" s="32" t="s">
        <v>911</v>
      </c>
      <c r="O226" s="31">
        <f>26000</f>
        <v>26000</v>
      </c>
      <c r="P226" s="32" t="s">
        <v>87</v>
      </c>
      <c r="Q226" s="31">
        <f>27240</f>
        <v>27240</v>
      </c>
      <c r="R226" s="32" t="s">
        <v>936</v>
      </c>
      <c r="S226" s="33">
        <f>27669.64</f>
        <v>27669.64</v>
      </c>
      <c r="T226" s="30">
        <f>24997</f>
        <v>24997</v>
      </c>
      <c r="U226" s="30">
        <f>5480</f>
        <v>5480</v>
      </c>
      <c r="V226" s="30">
        <f>690163715</f>
        <v>690163715</v>
      </c>
      <c r="W226" s="30">
        <f>157130780</f>
        <v>157130780</v>
      </c>
      <c r="X226" s="34">
        <f>14</f>
        <v>14</v>
      </c>
    </row>
    <row r="227" spans="1:24" x14ac:dyDescent="0.15">
      <c r="A227" s="25" t="s">
        <v>979</v>
      </c>
      <c r="B227" s="25" t="s">
        <v>717</v>
      </c>
      <c r="C227" s="25" t="s">
        <v>718</v>
      </c>
      <c r="D227" s="25" t="s">
        <v>719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17995</f>
        <v>17995</v>
      </c>
      <c r="L227" s="32" t="s">
        <v>912</v>
      </c>
      <c r="M227" s="31">
        <f>18070</f>
        <v>18070</v>
      </c>
      <c r="N227" s="32" t="s">
        <v>912</v>
      </c>
      <c r="O227" s="31">
        <f>16895</f>
        <v>16895</v>
      </c>
      <c r="P227" s="32" t="s">
        <v>66</v>
      </c>
      <c r="Q227" s="31">
        <f>17255</f>
        <v>17255</v>
      </c>
      <c r="R227" s="32" t="s">
        <v>934</v>
      </c>
      <c r="S227" s="33">
        <f>17330</f>
        <v>17330</v>
      </c>
      <c r="T227" s="30">
        <f>607</f>
        <v>607</v>
      </c>
      <c r="U227" s="30" t="str">
        <f>"－"</f>
        <v>－</v>
      </c>
      <c r="V227" s="30">
        <f>10931800</f>
        <v>10931800</v>
      </c>
      <c r="W227" s="30" t="str">
        <f>"－"</f>
        <v>－</v>
      </c>
      <c r="X227" s="34">
        <f>5</f>
        <v>5</v>
      </c>
    </row>
    <row r="228" spans="1:24" x14ac:dyDescent="0.15">
      <c r="A228" s="25" t="s">
        <v>979</v>
      </c>
      <c r="B228" s="25" t="s">
        <v>720</v>
      </c>
      <c r="C228" s="25" t="s">
        <v>721</v>
      </c>
      <c r="D228" s="25" t="s">
        <v>722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1147.5</f>
        <v>1147.5</v>
      </c>
      <c r="L228" s="32" t="s">
        <v>906</v>
      </c>
      <c r="M228" s="31">
        <f>1222</f>
        <v>1222</v>
      </c>
      <c r="N228" s="32" t="s">
        <v>819</v>
      </c>
      <c r="O228" s="31">
        <f>1131.5</f>
        <v>1131.5</v>
      </c>
      <c r="P228" s="32" t="s">
        <v>819</v>
      </c>
      <c r="Q228" s="31">
        <f>1172.5</f>
        <v>1172.5</v>
      </c>
      <c r="R228" s="32" t="s">
        <v>934</v>
      </c>
      <c r="S228" s="33">
        <f>1147.8</f>
        <v>1147.8</v>
      </c>
      <c r="T228" s="30">
        <f>532620</f>
        <v>532620</v>
      </c>
      <c r="U228" s="30">
        <f>355530</f>
        <v>355530</v>
      </c>
      <c r="V228" s="30">
        <f>612263046</f>
        <v>612263046</v>
      </c>
      <c r="W228" s="30">
        <f>408355821</f>
        <v>408355821</v>
      </c>
      <c r="X228" s="34">
        <f>5</f>
        <v>5</v>
      </c>
    </row>
    <row r="229" spans="1:24" x14ac:dyDescent="0.15">
      <c r="A229" s="25" t="s">
        <v>979</v>
      </c>
      <c r="B229" s="25" t="s">
        <v>723</v>
      </c>
      <c r="C229" s="25" t="s">
        <v>724</v>
      </c>
      <c r="D229" s="25" t="s">
        <v>725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1178</f>
        <v>1178</v>
      </c>
      <c r="L229" s="32" t="s">
        <v>904</v>
      </c>
      <c r="M229" s="31">
        <f>1187</f>
        <v>1187</v>
      </c>
      <c r="N229" s="32" t="s">
        <v>912</v>
      </c>
      <c r="O229" s="31">
        <f>1100</f>
        <v>1100</v>
      </c>
      <c r="P229" s="32" t="s">
        <v>915</v>
      </c>
      <c r="Q229" s="31">
        <f>1155</f>
        <v>1155</v>
      </c>
      <c r="R229" s="32" t="s">
        <v>934</v>
      </c>
      <c r="S229" s="33">
        <f>1148.67</f>
        <v>1148.67</v>
      </c>
      <c r="T229" s="30">
        <f>16230</f>
        <v>16230</v>
      </c>
      <c r="U229" s="30" t="str">
        <f>"－"</f>
        <v>－</v>
      </c>
      <c r="V229" s="30">
        <f>18967595</f>
        <v>18967595</v>
      </c>
      <c r="W229" s="30" t="str">
        <f>"－"</f>
        <v>－</v>
      </c>
      <c r="X229" s="34">
        <f>21</f>
        <v>21</v>
      </c>
    </row>
    <row r="230" spans="1:24" x14ac:dyDescent="0.15">
      <c r="A230" s="25" t="s">
        <v>979</v>
      </c>
      <c r="B230" s="25" t="s">
        <v>726</v>
      </c>
      <c r="C230" s="25" t="s">
        <v>727</v>
      </c>
      <c r="D230" s="25" t="s">
        <v>728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1209</f>
        <v>1209</v>
      </c>
      <c r="L230" s="32" t="s">
        <v>904</v>
      </c>
      <c r="M230" s="31">
        <f>1308</f>
        <v>1308</v>
      </c>
      <c r="N230" s="32" t="s">
        <v>56</v>
      </c>
      <c r="O230" s="31">
        <f>1191</f>
        <v>1191</v>
      </c>
      <c r="P230" s="32" t="s">
        <v>820</v>
      </c>
      <c r="Q230" s="31">
        <f>1218</f>
        <v>1218</v>
      </c>
      <c r="R230" s="32" t="s">
        <v>934</v>
      </c>
      <c r="S230" s="33">
        <f>1233.05</f>
        <v>1233.05</v>
      </c>
      <c r="T230" s="30">
        <f>192644</f>
        <v>192644</v>
      </c>
      <c r="U230" s="30">
        <f>15892</f>
        <v>15892</v>
      </c>
      <c r="V230" s="30">
        <f>237603899</f>
        <v>237603899</v>
      </c>
      <c r="W230" s="30">
        <f>19636679</f>
        <v>19636679</v>
      </c>
      <c r="X230" s="34">
        <f>22</f>
        <v>22</v>
      </c>
    </row>
    <row r="231" spans="1:24" x14ac:dyDescent="0.15">
      <c r="A231" s="25" t="s">
        <v>979</v>
      </c>
      <c r="B231" s="25" t="s">
        <v>729</v>
      </c>
      <c r="C231" s="25" t="s">
        <v>730</v>
      </c>
      <c r="D231" s="25" t="s">
        <v>731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13260</f>
        <v>13260</v>
      </c>
      <c r="L231" s="32" t="s">
        <v>904</v>
      </c>
      <c r="M231" s="31">
        <f>15105</f>
        <v>15105</v>
      </c>
      <c r="N231" s="32" t="s">
        <v>934</v>
      </c>
      <c r="O231" s="31">
        <f>13090</f>
        <v>13090</v>
      </c>
      <c r="P231" s="32" t="s">
        <v>909</v>
      </c>
      <c r="Q231" s="31">
        <f>15105</f>
        <v>15105</v>
      </c>
      <c r="R231" s="32" t="s">
        <v>934</v>
      </c>
      <c r="S231" s="33">
        <f>14073.41</f>
        <v>14073.41</v>
      </c>
      <c r="T231" s="30">
        <f>7142</f>
        <v>7142</v>
      </c>
      <c r="U231" s="30">
        <f>4</f>
        <v>4</v>
      </c>
      <c r="V231" s="30">
        <f>100699010</f>
        <v>100699010</v>
      </c>
      <c r="W231" s="30">
        <f>59480</f>
        <v>59480</v>
      </c>
      <c r="X231" s="34">
        <f>22</f>
        <v>22</v>
      </c>
    </row>
    <row r="232" spans="1:24" x14ac:dyDescent="0.15">
      <c r="A232" s="25" t="s">
        <v>979</v>
      </c>
      <c r="B232" s="25" t="s">
        <v>732</v>
      </c>
      <c r="C232" s="25" t="s">
        <v>733</v>
      </c>
      <c r="D232" s="25" t="s">
        <v>734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2145</f>
        <v>2145</v>
      </c>
      <c r="L232" s="32" t="s">
        <v>904</v>
      </c>
      <c r="M232" s="31">
        <f>2164</f>
        <v>2164</v>
      </c>
      <c r="N232" s="32" t="s">
        <v>909</v>
      </c>
      <c r="O232" s="31">
        <f>2005</f>
        <v>2005</v>
      </c>
      <c r="P232" s="32" t="s">
        <v>915</v>
      </c>
      <c r="Q232" s="31">
        <f>2112</f>
        <v>2112</v>
      </c>
      <c r="R232" s="32" t="s">
        <v>934</v>
      </c>
      <c r="S232" s="33">
        <f>2099.59</f>
        <v>2099.59</v>
      </c>
      <c r="T232" s="30">
        <f>241097</f>
        <v>241097</v>
      </c>
      <c r="U232" s="30">
        <f>230000</f>
        <v>230000</v>
      </c>
      <c r="V232" s="30">
        <f>515385642</f>
        <v>515385642</v>
      </c>
      <c r="W232" s="30">
        <f>492223000</f>
        <v>492223000</v>
      </c>
      <c r="X232" s="34">
        <f>22</f>
        <v>22</v>
      </c>
    </row>
    <row r="233" spans="1:24" x14ac:dyDescent="0.15">
      <c r="A233" s="25" t="s">
        <v>979</v>
      </c>
      <c r="B233" s="25" t="s">
        <v>735</v>
      </c>
      <c r="C233" s="25" t="s">
        <v>736</v>
      </c>
      <c r="D233" s="25" t="s">
        <v>737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1530</f>
        <v>1530</v>
      </c>
      <c r="L233" s="32" t="s">
        <v>904</v>
      </c>
      <c r="M233" s="31">
        <f>1783</f>
        <v>1783</v>
      </c>
      <c r="N233" s="32" t="s">
        <v>934</v>
      </c>
      <c r="O233" s="31">
        <f>1530</f>
        <v>1530</v>
      </c>
      <c r="P233" s="32" t="s">
        <v>904</v>
      </c>
      <c r="Q233" s="31">
        <f>1783</f>
        <v>1783</v>
      </c>
      <c r="R233" s="32" t="s">
        <v>934</v>
      </c>
      <c r="S233" s="33">
        <f>1669.5</f>
        <v>1669.5</v>
      </c>
      <c r="T233" s="30">
        <f>8810</f>
        <v>8810</v>
      </c>
      <c r="U233" s="30" t="str">
        <f>"－"</f>
        <v>－</v>
      </c>
      <c r="V233" s="30">
        <f>14608365</f>
        <v>14608365</v>
      </c>
      <c r="W233" s="30" t="str">
        <f>"－"</f>
        <v>－</v>
      </c>
      <c r="X233" s="34">
        <f>22</f>
        <v>22</v>
      </c>
    </row>
    <row r="234" spans="1:24" x14ac:dyDescent="0.15">
      <c r="A234" s="25" t="s">
        <v>979</v>
      </c>
      <c r="B234" s="25" t="s">
        <v>738</v>
      </c>
      <c r="C234" s="25" t="s">
        <v>822</v>
      </c>
      <c r="D234" s="25" t="s">
        <v>823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909.8</f>
        <v>909.8</v>
      </c>
      <c r="L234" s="32" t="s">
        <v>904</v>
      </c>
      <c r="M234" s="31">
        <f>909.8</f>
        <v>909.8</v>
      </c>
      <c r="N234" s="32" t="s">
        <v>904</v>
      </c>
      <c r="O234" s="31">
        <f>869.3</f>
        <v>869.3</v>
      </c>
      <c r="P234" s="32" t="s">
        <v>915</v>
      </c>
      <c r="Q234" s="31">
        <f>880.9</f>
        <v>880.9</v>
      </c>
      <c r="R234" s="32" t="s">
        <v>934</v>
      </c>
      <c r="S234" s="33">
        <f>886.09</f>
        <v>886.09</v>
      </c>
      <c r="T234" s="30">
        <f>2072550</f>
        <v>2072550</v>
      </c>
      <c r="U234" s="30">
        <f>1038960</f>
        <v>1038960</v>
      </c>
      <c r="V234" s="30">
        <f>1825169197</f>
        <v>1825169197</v>
      </c>
      <c r="W234" s="30">
        <f>913262729</f>
        <v>913262729</v>
      </c>
      <c r="X234" s="34">
        <f>22</f>
        <v>22</v>
      </c>
    </row>
    <row r="235" spans="1:24" x14ac:dyDescent="0.15">
      <c r="A235" s="25" t="s">
        <v>979</v>
      </c>
      <c r="B235" s="25" t="s">
        <v>739</v>
      </c>
      <c r="C235" s="25" t="s">
        <v>740</v>
      </c>
      <c r="D235" s="25" t="s">
        <v>741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2049.5</f>
        <v>2049.5</v>
      </c>
      <c r="L235" s="32" t="s">
        <v>904</v>
      </c>
      <c r="M235" s="31">
        <f>2073.5</f>
        <v>2073.5</v>
      </c>
      <c r="N235" s="32" t="s">
        <v>911</v>
      </c>
      <c r="O235" s="31">
        <f>1927.5</f>
        <v>1927.5</v>
      </c>
      <c r="P235" s="32" t="s">
        <v>915</v>
      </c>
      <c r="Q235" s="31">
        <f>2028</f>
        <v>2028</v>
      </c>
      <c r="R235" s="32" t="s">
        <v>934</v>
      </c>
      <c r="S235" s="33">
        <f>2010.32</f>
        <v>2010.32</v>
      </c>
      <c r="T235" s="30">
        <f>69380</f>
        <v>69380</v>
      </c>
      <c r="U235" s="30">
        <f>60000</f>
        <v>60000</v>
      </c>
      <c r="V235" s="30">
        <f>135595930</f>
        <v>135595930</v>
      </c>
      <c r="W235" s="30">
        <f>116964000</f>
        <v>116964000</v>
      </c>
      <c r="X235" s="34">
        <f>22</f>
        <v>22</v>
      </c>
    </row>
    <row r="236" spans="1:24" x14ac:dyDescent="0.15">
      <c r="A236" s="25" t="s">
        <v>979</v>
      </c>
      <c r="B236" s="25" t="s">
        <v>742</v>
      </c>
      <c r="C236" s="25" t="s">
        <v>743</v>
      </c>
      <c r="D236" s="25" t="s">
        <v>744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2046.5</f>
        <v>2046.5</v>
      </c>
      <c r="L236" s="32" t="s">
        <v>904</v>
      </c>
      <c r="M236" s="31">
        <f>2067.5</f>
        <v>2067.5</v>
      </c>
      <c r="N236" s="32" t="s">
        <v>911</v>
      </c>
      <c r="O236" s="31">
        <f>1921</f>
        <v>1921</v>
      </c>
      <c r="P236" s="32" t="s">
        <v>915</v>
      </c>
      <c r="Q236" s="31">
        <f>2017</f>
        <v>2017</v>
      </c>
      <c r="R236" s="32" t="s">
        <v>934</v>
      </c>
      <c r="S236" s="33">
        <f>2007.11</f>
        <v>2007.11</v>
      </c>
      <c r="T236" s="30">
        <f>879210</f>
        <v>879210</v>
      </c>
      <c r="U236" s="30">
        <f>349180</f>
        <v>349180</v>
      </c>
      <c r="V236" s="30">
        <f>1752839570</f>
        <v>1752839570</v>
      </c>
      <c r="W236" s="30">
        <f>701963115</f>
        <v>701963115</v>
      </c>
      <c r="X236" s="34">
        <f>22</f>
        <v>22</v>
      </c>
    </row>
    <row r="237" spans="1:24" x14ac:dyDescent="0.15">
      <c r="A237" s="25" t="s">
        <v>979</v>
      </c>
      <c r="B237" s="25" t="s">
        <v>745</v>
      </c>
      <c r="C237" s="25" t="s">
        <v>746</v>
      </c>
      <c r="D237" s="25" t="s">
        <v>747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1929</f>
        <v>1929</v>
      </c>
      <c r="L237" s="32" t="s">
        <v>80</v>
      </c>
      <c r="M237" s="31">
        <f>1979.5</f>
        <v>1979.5</v>
      </c>
      <c r="N237" s="32" t="s">
        <v>912</v>
      </c>
      <c r="O237" s="31">
        <f>1839</f>
        <v>1839</v>
      </c>
      <c r="P237" s="32" t="s">
        <v>819</v>
      </c>
      <c r="Q237" s="31">
        <f>1902.5</f>
        <v>1902.5</v>
      </c>
      <c r="R237" s="32" t="s">
        <v>934</v>
      </c>
      <c r="S237" s="33">
        <f>1905.37</f>
        <v>1905.37</v>
      </c>
      <c r="T237" s="30">
        <f>26450</f>
        <v>26450</v>
      </c>
      <c r="U237" s="30" t="str">
        <f>"－"</f>
        <v>－</v>
      </c>
      <c r="V237" s="30">
        <f>50309250</f>
        <v>50309250</v>
      </c>
      <c r="W237" s="30" t="str">
        <f>"－"</f>
        <v>－</v>
      </c>
      <c r="X237" s="34">
        <f>15</f>
        <v>15</v>
      </c>
    </row>
    <row r="238" spans="1:24" x14ac:dyDescent="0.15">
      <c r="A238" s="25" t="s">
        <v>979</v>
      </c>
      <c r="B238" s="25" t="s">
        <v>748</v>
      </c>
      <c r="C238" s="25" t="s">
        <v>749</v>
      </c>
      <c r="D238" s="25" t="s">
        <v>750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15375</f>
        <v>15375</v>
      </c>
      <c r="L238" s="32" t="s">
        <v>904</v>
      </c>
      <c r="M238" s="31">
        <f>15905</f>
        <v>15905</v>
      </c>
      <c r="N238" s="32" t="s">
        <v>911</v>
      </c>
      <c r="O238" s="31">
        <f>13910</f>
        <v>13910</v>
      </c>
      <c r="P238" s="32" t="s">
        <v>819</v>
      </c>
      <c r="Q238" s="31">
        <f>14840</f>
        <v>14840</v>
      </c>
      <c r="R238" s="32" t="s">
        <v>934</v>
      </c>
      <c r="S238" s="33">
        <f>15004.55</f>
        <v>15004.55</v>
      </c>
      <c r="T238" s="30">
        <f>1828834</f>
        <v>1828834</v>
      </c>
      <c r="U238" s="30">
        <f>444815</f>
        <v>444815</v>
      </c>
      <c r="V238" s="30">
        <f>27422438925</f>
        <v>27422438925</v>
      </c>
      <c r="W238" s="30">
        <f>6798763135</f>
        <v>6798763135</v>
      </c>
      <c r="X238" s="34">
        <f>22</f>
        <v>22</v>
      </c>
    </row>
    <row r="239" spans="1:24" x14ac:dyDescent="0.15">
      <c r="A239" s="25" t="s">
        <v>979</v>
      </c>
      <c r="B239" s="25" t="s">
        <v>751</v>
      </c>
      <c r="C239" s="25" t="s">
        <v>752</v>
      </c>
      <c r="D239" s="25" t="s">
        <v>753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13940</f>
        <v>13940</v>
      </c>
      <c r="L239" s="32" t="s">
        <v>904</v>
      </c>
      <c r="M239" s="31">
        <f>14400</f>
        <v>14400</v>
      </c>
      <c r="N239" s="32" t="s">
        <v>911</v>
      </c>
      <c r="O239" s="31">
        <f>12955</f>
        <v>12955</v>
      </c>
      <c r="P239" s="32" t="s">
        <v>819</v>
      </c>
      <c r="Q239" s="31">
        <f>13445</f>
        <v>13445</v>
      </c>
      <c r="R239" s="32" t="s">
        <v>934</v>
      </c>
      <c r="S239" s="33">
        <f>13638.41</f>
        <v>13638.41</v>
      </c>
      <c r="T239" s="30">
        <f>213807</f>
        <v>213807</v>
      </c>
      <c r="U239" s="30">
        <f>8</f>
        <v>8</v>
      </c>
      <c r="V239" s="30">
        <f>2890855045</f>
        <v>2890855045</v>
      </c>
      <c r="W239" s="30">
        <f>108900</f>
        <v>108900</v>
      </c>
      <c r="X239" s="34">
        <f>22</f>
        <v>22</v>
      </c>
    </row>
    <row r="240" spans="1:24" x14ac:dyDescent="0.15">
      <c r="A240" s="25" t="s">
        <v>979</v>
      </c>
      <c r="B240" s="25" t="s">
        <v>754</v>
      </c>
      <c r="C240" s="25" t="s">
        <v>755</v>
      </c>
      <c r="D240" s="25" t="s">
        <v>756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25785</f>
        <v>25785</v>
      </c>
      <c r="L240" s="32" t="s">
        <v>80</v>
      </c>
      <c r="M240" s="31">
        <f>26370</f>
        <v>26370</v>
      </c>
      <c r="N240" s="32" t="s">
        <v>911</v>
      </c>
      <c r="O240" s="31">
        <f>24470</f>
        <v>24470</v>
      </c>
      <c r="P240" s="32" t="s">
        <v>819</v>
      </c>
      <c r="Q240" s="31">
        <f>24470</f>
        <v>24470</v>
      </c>
      <c r="R240" s="32" t="s">
        <v>819</v>
      </c>
      <c r="S240" s="33">
        <f>25508</f>
        <v>25508</v>
      </c>
      <c r="T240" s="30">
        <f>27</f>
        <v>27</v>
      </c>
      <c r="U240" s="30" t="str">
        <f>"－"</f>
        <v>－</v>
      </c>
      <c r="V240" s="30">
        <f>698680</f>
        <v>698680</v>
      </c>
      <c r="W240" s="30" t="str">
        <f>"－"</f>
        <v>－</v>
      </c>
      <c r="X240" s="34">
        <f>5</f>
        <v>5</v>
      </c>
    </row>
    <row r="241" spans="1:24" x14ac:dyDescent="0.15">
      <c r="A241" s="25" t="s">
        <v>979</v>
      </c>
      <c r="B241" s="25" t="s">
        <v>757</v>
      </c>
      <c r="C241" s="25" t="s">
        <v>758</v>
      </c>
      <c r="D241" s="25" t="s">
        <v>759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2624</f>
        <v>2624</v>
      </c>
      <c r="L241" s="32" t="s">
        <v>904</v>
      </c>
      <c r="M241" s="31">
        <f>2624</f>
        <v>2624</v>
      </c>
      <c r="N241" s="32" t="s">
        <v>904</v>
      </c>
      <c r="O241" s="31">
        <f>2559</f>
        <v>2559</v>
      </c>
      <c r="P241" s="32" t="s">
        <v>695</v>
      </c>
      <c r="Q241" s="31">
        <f>2581</f>
        <v>2581</v>
      </c>
      <c r="R241" s="32" t="s">
        <v>934</v>
      </c>
      <c r="S241" s="33">
        <f>2594.09</f>
        <v>2594.09</v>
      </c>
      <c r="T241" s="30">
        <f>749526</f>
        <v>749526</v>
      </c>
      <c r="U241" s="30">
        <f>103881</f>
        <v>103881</v>
      </c>
      <c r="V241" s="30">
        <f>1945076897</f>
        <v>1945076897</v>
      </c>
      <c r="W241" s="30">
        <f>269352414</f>
        <v>269352414</v>
      </c>
      <c r="X241" s="34">
        <f>22</f>
        <v>22</v>
      </c>
    </row>
    <row r="242" spans="1:24" x14ac:dyDescent="0.15">
      <c r="A242" s="25" t="s">
        <v>979</v>
      </c>
      <c r="B242" s="25" t="s">
        <v>760</v>
      </c>
      <c r="C242" s="25" t="s">
        <v>761</v>
      </c>
      <c r="D242" s="25" t="s">
        <v>762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2861</f>
        <v>2861</v>
      </c>
      <c r="L242" s="32" t="s">
        <v>904</v>
      </c>
      <c r="M242" s="31">
        <f>2877</f>
        <v>2877</v>
      </c>
      <c r="N242" s="32" t="s">
        <v>907</v>
      </c>
      <c r="O242" s="31">
        <f>2558</f>
        <v>2558</v>
      </c>
      <c r="P242" s="32" t="s">
        <v>87</v>
      </c>
      <c r="Q242" s="31">
        <f>2653</f>
        <v>2653</v>
      </c>
      <c r="R242" s="32" t="s">
        <v>934</v>
      </c>
      <c r="S242" s="33">
        <f>2714.36</f>
        <v>2714.36</v>
      </c>
      <c r="T242" s="30">
        <f>2435320</f>
        <v>2435320</v>
      </c>
      <c r="U242" s="30">
        <f>1746490</f>
        <v>1746490</v>
      </c>
      <c r="V242" s="30">
        <f>6618599616</f>
        <v>6618599616</v>
      </c>
      <c r="W242" s="30">
        <f>4738157621</f>
        <v>4738157621</v>
      </c>
      <c r="X242" s="34">
        <f>22</f>
        <v>22</v>
      </c>
    </row>
    <row r="243" spans="1:24" x14ac:dyDescent="0.15">
      <c r="A243" s="25" t="s">
        <v>979</v>
      </c>
      <c r="B243" s="25" t="s">
        <v>763</v>
      </c>
      <c r="C243" s="25" t="s">
        <v>764</v>
      </c>
      <c r="D243" s="25" t="s">
        <v>765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268.8</f>
        <v>268.8</v>
      </c>
      <c r="L243" s="32" t="s">
        <v>904</v>
      </c>
      <c r="M243" s="31">
        <f>271.1</f>
        <v>271.10000000000002</v>
      </c>
      <c r="N243" s="32" t="s">
        <v>907</v>
      </c>
      <c r="O243" s="31">
        <f>235.3</f>
        <v>235.3</v>
      </c>
      <c r="P243" s="32" t="s">
        <v>819</v>
      </c>
      <c r="Q243" s="31">
        <f>244.3</f>
        <v>244.3</v>
      </c>
      <c r="R243" s="32" t="s">
        <v>934</v>
      </c>
      <c r="S243" s="33">
        <f>252.34</f>
        <v>252.34</v>
      </c>
      <c r="T243" s="30">
        <f>59834690</f>
        <v>59834690</v>
      </c>
      <c r="U243" s="30">
        <f>24963880</f>
        <v>24963880</v>
      </c>
      <c r="V243" s="30">
        <f>15011113106</f>
        <v>15011113106</v>
      </c>
      <c r="W243" s="30">
        <f>6187514961</f>
        <v>6187514961</v>
      </c>
      <c r="X243" s="34">
        <f>22</f>
        <v>22</v>
      </c>
    </row>
    <row r="244" spans="1:24" x14ac:dyDescent="0.15">
      <c r="A244" s="25" t="s">
        <v>979</v>
      </c>
      <c r="B244" s="25" t="s">
        <v>766</v>
      </c>
      <c r="C244" s="25" t="s">
        <v>767</v>
      </c>
      <c r="D244" s="25" t="s">
        <v>768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1985</f>
        <v>1985</v>
      </c>
      <c r="L244" s="32" t="s">
        <v>904</v>
      </c>
      <c r="M244" s="31">
        <f>2047</f>
        <v>2047</v>
      </c>
      <c r="N244" s="32" t="s">
        <v>911</v>
      </c>
      <c r="O244" s="31">
        <f>1872</f>
        <v>1872</v>
      </c>
      <c r="P244" s="32" t="s">
        <v>87</v>
      </c>
      <c r="Q244" s="31">
        <f>1914</f>
        <v>1914</v>
      </c>
      <c r="R244" s="32" t="s">
        <v>934</v>
      </c>
      <c r="S244" s="33">
        <f>1952.05</f>
        <v>1952.05</v>
      </c>
      <c r="T244" s="30">
        <f>159479</f>
        <v>159479</v>
      </c>
      <c r="U244" s="30">
        <f>5100</f>
        <v>5100</v>
      </c>
      <c r="V244" s="30">
        <f>311158222</f>
        <v>311158222</v>
      </c>
      <c r="W244" s="30">
        <f>9974580</f>
        <v>9974580</v>
      </c>
      <c r="X244" s="34">
        <f>22</f>
        <v>22</v>
      </c>
    </row>
    <row r="245" spans="1:24" x14ac:dyDescent="0.15">
      <c r="A245" s="25" t="s">
        <v>979</v>
      </c>
      <c r="B245" s="25" t="s">
        <v>769</v>
      </c>
      <c r="C245" s="25" t="s">
        <v>770</v>
      </c>
      <c r="D245" s="25" t="s">
        <v>771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1132</f>
        <v>1132</v>
      </c>
      <c r="L245" s="32" t="s">
        <v>904</v>
      </c>
      <c r="M245" s="31">
        <f>1143</f>
        <v>1143</v>
      </c>
      <c r="N245" s="32" t="s">
        <v>907</v>
      </c>
      <c r="O245" s="31">
        <f>1036</f>
        <v>1036</v>
      </c>
      <c r="P245" s="32" t="s">
        <v>819</v>
      </c>
      <c r="Q245" s="31">
        <f>1084</f>
        <v>1084</v>
      </c>
      <c r="R245" s="32" t="s">
        <v>934</v>
      </c>
      <c r="S245" s="33">
        <f>1089.64</f>
        <v>1089.6400000000001</v>
      </c>
      <c r="T245" s="30">
        <f>182856</f>
        <v>182856</v>
      </c>
      <c r="U245" s="30">
        <f>3</f>
        <v>3</v>
      </c>
      <c r="V245" s="30">
        <f>196992353</f>
        <v>196992353</v>
      </c>
      <c r="W245" s="30">
        <f>3406</f>
        <v>3406</v>
      </c>
      <c r="X245" s="34">
        <f>22</f>
        <v>22</v>
      </c>
    </row>
    <row r="246" spans="1:24" x14ac:dyDescent="0.15">
      <c r="A246" s="25" t="s">
        <v>979</v>
      </c>
      <c r="B246" s="25" t="s">
        <v>772</v>
      </c>
      <c r="C246" s="25" t="s">
        <v>773</v>
      </c>
      <c r="D246" s="25" t="s">
        <v>774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1134</f>
        <v>1134</v>
      </c>
      <c r="L246" s="32" t="s">
        <v>904</v>
      </c>
      <c r="M246" s="31">
        <f>1141.5</f>
        <v>1141.5</v>
      </c>
      <c r="N246" s="32" t="s">
        <v>905</v>
      </c>
      <c r="O246" s="31">
        <f>1061</f>
        <v>1061</v>
      </c>
      <c r="P246" s="32" t="s">
        <v>915</v>
      </c>
      <c r="Q246" s="31">
        <f>1112</f>
        <v>1112</v>
      </c>
      <c r="R246" s="32" t="s">
        <v>934</v>
      </c>
      <c r="S246" s="33">
        <f>1106.24</f>
        <v>1106.24</v>
      </c>
      <c r="T246" s="30">
        <f>8690</f>
        <v>8690</v>
      </c>
      <c r="U246" s="30" t="str">
        <f>"－"</f>
        <v>－</v>
      </c>
      <c r="V246" s="30">
        <f>9564125</f>
        <v>9564125</v>
      </c>
      <c r="W246" s="30" t="str">
        <f>"－"</f>
        <v>－</v>
      </c>
      <c r="X246" s="34">
        <f>21</f>
        <v>21</v>
      </c>
    </row>
    <row r="247" spans="1:24" x14ac:dyDescent="0.15">
      <c r="A247" s="25" t="s">
        <v>979</v>
      </c>
      <c r="B247" s="25" t="s">
        <v>775</v>
      </c>
      <c r="C247" s="25" t="s">
        <v>776</v>
      </c>
      <c r="D247" s="25" t="s">
        <v>777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237.3</f>
        <v>237.3</v>
      </c>
      <c r="L247" s="32" t="s">
        <v>904</v>
      </c>
      <c r="M247" s="31">
        <f>244.1</f>
        <v>244.1</v>
      </c>
      <c r="N247" s="32" t="s">
        <v>912</v>
      </c>
      <c r="O247" s="31">
        <f>225</f>
        <v>225</v>
      </c>
      <c r="P247" s="32" t="s">
        <v>66</v>
      </c>
      <c r="Q247" s="31">
        <f>228.5</f>
        <v>228.5</v>
      </c>
      <c r="R247" s="32" t="s">
        <v>934</v>
      </c>
      <c r="S247" s="33">
        <f>233.35</f>
        <v>233.35</v>
      </c>
      <c r="T247" s="30">
        <f>75300</f>
        <v>75300</v>
      </c>
      <c r="U247" s="30" t="str">
        <f>"－"</f>
        <v>－</v>
      </c>
      <c r="V247" s="30">
        <f>17517288</f>
        <v>17517288</v>
      </c>
      <c r="W247" s="30" t="str">
        <f>"－"</f>
        <v>－</v>
      </c>
      <c r="X247" s="34">
        <f>22</f>
        <v>22</v>
      </c>
    </row>
    <row r="248" spans="1:24" x14ac:dyDescent="0.15">
      <c r="A248" s="25" t="s">
        <v>979</v>
      </c>
      <c r="B248" s="25" t="s">
        <v>778</v>
      </c>
      <c r="C248" s="25" t="s">
        <v>779</v>
      </c>
      <c r="D248" s="25" t="s">
        <v>780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2817</f>
        <v>2817</v>
      </c>
      <c r="L248" s="32" t="s">
        <v>904</v>
      </c>
      <c r="M248" s="31">
        <f>2928.5</f>
        <v>2928.5</v>
      </c>
      <c r="N248" s="32" t="s">
        <v>911</v>
      </c>
      <c r="O248" s="31">
        <f>2500.5</f>
        <v>2500.5</v>
      </c>
      <c r="P248" s="32" t="s">
        <v>819</v>
      </c>
      <c r="Q248" s="31">
        <f>2719.5</f>
        <v>2719.5</v>
      </c>
      <c r="R248" s="32" t="s">
        <v>934</v>
      </c>
      <c r="S248" s="33">
        <f>2755.32</f>
        <v>2755.32</v>
      </c>
      <c r="T248" s="30">
        <f>4091490</f>
        <v>4091490</v>
      </c>
      <c r="U248" s="30">
        <f>450</f>
        <v>450</v>
      </c>
      <c r="V248" s="30">
        <f>11317504935</f>
        <v>11317504935</v>
      </c>
      <c r="W248" s="30">
        <f>1194300</f>
        <v>1194300</v>
      </c>
      <c r="X248" s="34">
        <f>22</f>
        <v>22</v>
      </c>
    </row>
    <row r="249" spans="1:24" x14ac:dyDescent="0.15">
      <c r="A249" s="25" t="s">
        <v>979</v>
      </c>
      <c r="B249" s="25" t="s">
        <v>781</v>
      </c>
      <c r="C249" s="25" t="s">
        <v>782</v>
      </c>
      <c r="D249" s="25" t="s">
        <v>783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2265.5</f>
        <v>2265.5</v>
      </c>
      <c r="L249" s="32" t="s">
        <v>904</v>
      </c>
      <c r="M249" s="31">
        <f>2305.5</f>
        <v>2305.5</v>
      </c>
      <c r="N249" s="32" t="s">
        <v>907</v>
      </c>
      <c r="O249" s="31">
        <f>1981</f>
        <v>1981</v>
      </c>
      <c r="P249" s="32" t="s">
        <v>819</v>
      </c>
      <c r="Q249" s="31">
        <f>2052</f>
        <v>2052</v>
      </c>
      <c r="R249" s="32" t="s">
        <v>934</v>
      </c>
      <c r="S249" s="33">
        <f>2126.07</f>
        <v>2126.0700000000002</v>
      </c>
      <c r="T249" s="30">
        <f>2935100</f>
        <v>2935100</v>
      </c>
      <c r="U249" s="30">
        <f>10</f>
        <v>10</v>
      </c>
      <c r="V249" s="30">
        <f>6223439775</f>
        <v>6223439775</v>
      </c>
      <c r="W249" s="30">
        <f>20195</f>
        <v>20195</v>
      </c>
      <c r="X249" s="34">
        <f>22</f>
        <v>22</v>
      </c>
    </row>
    <row r="250" spans="1:24" x14ac:dyDescent="0.15">
      <c r="A250" s="25" t="s">
        <v>979</v>
      </c>
      <c r="B250" s="25" t="s">
        <v>784</v>
      </c>
      <c r="C250" s="25" t="s">
        <v>785</v>
      </c>
      <c r="D250" s="25" t="s">
        <v>786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2910</f>
        <v>2910</v>
      </c>
      <c r="L250" s="32" t="s">
        <v>904</v>
      </c>
      <c r="M250" s="31">
        <f>3080</f>
        <v>3080</v>
      </c>
      <c r="N250" s="32" t="s">
        <v>934</v>
      </c>
      <c r="O250" s="31">
        <f>2910</f>
        <v>2910</v>
      </c>
      <c r="P250" s="32" t="s">
        <v>904</v>
      </c>
      <c r="Q250" s="31">
        <f>3065</f>
        <v>3065</v>
      </c>
      <c r="R250" s="32" t="s">
        <v>934</v>
      </c>
      <c r="S250" s="33">
        <f>3015.64</f>
        <v>3015.64</v>
      </c>
      <c r="T250" s="30">
        <f>2584328</f>
        <v>2584328</v>
      </c>
      <c r="U250" s="30">
        <f>1871641</f>
        <v>1871641</v>
      </c>
      <c r="V250" s="30">
        <f>7775874585</f>
        <v>7775874585</v>
      </c>
      <c r="W250" s="30">
        <f>5642721984</f>
        <v>5642721984</v>
      </c>
      <c r="X250" s="34">
        <f>22</f>
        <v>22</v>
      </c>
    </row>
    <row r="251" spans="1:24" x14ac:dyDescent="0.15">
      <c r="A251" s="25" t="s">
        <v>979</v>
      </c>
      <c r="B251" s="25" t="s">
        <v>787</v>
      </c>
      <c r="C251" s="25" t="s">
        <v>788</v>
      </c>
      <c r="D251" s="25" t="s">
        <v>789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1739</f>
        <v>1739</v>
      </c>
      <c r="L251" s="32" t="s">
        <v>904</v>
      </c>
      <c r="M251" s="31">
        <f>1747</f>
        <v>1747</v>
      </c>
      <c r="N251" s="32" t="s">
        <v>909</v>
      </c>
      <c r="O251" s="31">
        <f>1623</f>
        <v>1623</v>
      </c>
      <c r="P251" s="32" t="s">
        <v>915</v>
      </c>
      <c r="Q251" s="31">
        <f>1692</f>
        <v>1692</v>
      </c>
      <c r="R251" s="32" t="s">
        <v>934</v>
      </c>
      <c r="S251" s="33">
        <f>1690.23</f>
        <v>1690.23</v>
      </c>
      <c r="T251" s="30">
        <f>1952445</f>
        <v>1952445</v>
      </c>
      <c r="U251" s="30">
        <f>900005</f>
        <v>900005</v>
      </c>
      <c r="V251" s="30">
        <f>3264309059</f>
        <v>3264309059</v>
      </c>
      <c r="W251" s="30">
        <f>1492478473</f>
        <v>1492478473</v>
      </c>
      <c r="X251" s="34">
        <f>22</f>
        <v>22</v>
      </c>
    </row>
    <row r="252" spans="1:24" x14ac:dyDescent="0.15">
      <c r="A252" s="25" t="s">
        <v>979</v>
      </c>
      <c r="B252" s="25" t="s">
        <v>790</v>
      </c>
      <c r="C252" s="25" t="s">
        <v>791</v>
      </c>
      <c r="D252" s="25" t="s">
        <v>792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2037</f>
        <v>2037</v>
      </c>
      <c r="L252" s="32" t="s">
        <v>904</v>
      </c>
      <c r="M252" s="31">
        <f>2055</f>
        <v>2055</v>
      </c>
      <c r="N252" s="32" t="s">
        <v>80</v>
      </c>
      <c r="O252" s="31">
        <f>1885</f>
        <v>1885</v>
      </c>
      <c r="P252" s="32" t="s">
        <v>936</v>
      </c>
      <c r="Q252" s="31">
        <f>1886</f>
        <v>1886</v>
      </c>
      <c r="R252" s="32" t="s">
        <v>934</v>
      </c>
      <c r="S252" s="33">
        <f>1952.95</f>
        <v>1952.95</v>
      </c>
      <c r="T252" s="30">
        <f>20586</f>
        <v>20586</v>
      </c>
      <c r="U252" s="30" t="str">
        <f>"－"</f>
        <v>－</v>
      </c>
      <c r="V252" s="30">
        <f>39836082</f>
        <v>39836082</v>
      </c>
      <c r="W252" s="30" t="str">
        <f>"－"</f>
        <v>－</v>
      </c>
      <c r="X252" s="34">
        <f>22</f>
        <v>22</v>
      </c>
    </row>
    <row r="253" spans="1:24" x14ac:dyDescent="0.15">
      <c r="A253" s="25" t="s">
        <v>979</v>
      </c>
      <c r="B253" s="25" t="s">
        <v>793</v>
      </c>
      <c r="C253" s="25" t="s">
        <v>794</v>
      </c>
      <c r="D253" s="25" t="s">
        <v>795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2279</f>
        <v>2279</v>
      </c>
      <c r="L253" s="32" t="s">
        <v>904</v>
      </c>
      <c r="M253" s="31">
        <f>2279</f>
        <v>2279</v>
      </c>
      <c r="N253" s="32" t="s">
        <v>904</v>
      </c>
      <c r="O253" s="31">
        <f>2143</f>
        <v>2143</v>
      </c>
      <c r="P253" s="32" t="s">
        <v>935</v>
      </c>
      <c r="Q253" s="31">
        <f>2180</f>
        <v>2180</v>
      </c>
      <c r="R253" s="32" t="s">
        <v>934</v>
      </c>
      <c r="S253" s="33">
        <f>2204</f>
        <v>2204</v>
      </c>
      <c r="T253" s="30">
        <f>8675</f>
        <v>8675</v>
      </c>
      <c r="U253" s="30" t="str">
        <f>"－"</f>
        <v>－</v>
      </c>
      <c r="V253" s="30">
        <f>19587064</f>
        <v>19587064</v>
      </c>
      <c r="W253" s="30" t="str">
        <f>"－"</f>
        <v>－</v>
      </c>
      <c r="X253" s="34">
        <f>22</f>
        <v>22</v>
      </c>
    </row>
    <row r="254" spans="1:24" x14ac:dyDescent="0.15">
      <c r="A254" s="25" t="s">
        <v>979</v>
      </c>
      <c r="B254" s="25" t="s">
        <v>796</v>
      </c>
      <c r="C254" s="25" t="s">
        <v>797</v>
      </c>
      <c r="D254" s="25" t="s">
        <v>798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2738</f>
        <v>2738</v>
      </c>
      <c r="L254" s="32" t="s">
        <v>904</v>
      </c>
      <c r="M254" s="31">
        <f>2846</f>
        <v>2846</v>
      </c>
      <c r="N254" s="32" t="s">
        <v>911</v>
      </c>
      <c r="O254" s="31">
        <f>2559</f>
        <v>2559</v>
      </c>
      <c r="P254" s="32" t="s">
        <v>87</v>
      </c>
      <c r="Q254" s="31">
        <f>2650</f>
        <v>2650</v>
      </c>
      <c r="R254" s="32" t="s">
        <v>934</v>
      </c>
      <c r="S254" s="33">
        <f>2704.14</f>
        <v>2704.14</v>
      </c>
      <c r="T254" s="30">
        <f>703967</f>
        <v>703967</v>
      </c>
      <c r="U254" s="30">
        <f>50000</f>
        <v>50000</v>
      </c>
      <c r="V254" s="30">
        <f>1889611933</f>
        <v>1889611933</v>
      </c>
      <c r="W254" s="30">
        <f>132876000</f>
        <v>132876000</v>
      </c>
      <c r="X254" s="34">
        <f>22</f>
        <v>22</v>
      </c>
    </row>
    <row r="255" spans="1:24" x14ac:dyDescent="0.15">
      <c r="A255" s="25" t="s">
        <v>979</v>
      </c>
      <c r="B255" s="25" t="s">
        <v>799</v>
      </c>
      <c r="C255" s="25" t="s">
        <v>800</v>
      </c>
      <c r="D255" s="25" t="s">
        <v>801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1918</f>
        <v>1918</v>
      </c>
      <c r="L255" s="32" t="s">
        <v>904</v>
      </c>
      <c r="M255" s="31">
        <f>1985</f>
        <v>1985</v>
      </c>
      <c r="N255" s="32" t="s">
        <v>911</v>
      </c>
      <c r="O255" s="31">
        <f>1813</f>
        <v>1813</v>
      </c>
      <c r="P255" s="32" t="s">
        <v>87</v>
      </c>
      <c r="Q255" s="31">
        <f>1878</f>
        <v>1878</v>
      </c>
      <c r="R255" s="32" t="s">
        <v>934</v>
      </c>
      <c r="S255" s="33">
        <f>1899.86</f>
        <v>1899.86</v>
      </c>
      <c r="T255" s="30">
        <f>386006</f>
        <v>386006</v>
      </c>
      <c r="U255" s="30">
        <f>15713</f>
        <v>15713</v>
      </c>
      <c r="V255" s="30">
        <f>740725188</f>
        <v>740725188</v>
      </c>
      <c r="W255" s="30">
        <f>29977593</f>
        <v>29977593</v>
      </c>
      <c r="X255" s="34">
        <f>22</f>
        <v>22</v>
      </c>
    </row>
    <row r="256" spans="1:24" x14ac:dyDescent="0.15">
      <c r="A256" s="25" t="s">
        <v>979</v>
      </c>
      <c r="B256" s="25" t="s">
        <v>802</v>
      </c>
      <c r="C256" s="25" t="s">
        <v>803</v>
      </c>
      <c r="D256" s="25" t="s">
        <v>804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1923</f>
        <v>1923</v>
      </c>
      <c r="L256" s="32" t="s">
        <v>904</v>
      </c>
      <c r="M256" s="31">
        <f>1952</f>
        <v>1952</v>
      </c>
      <c r="N256" s="32" t="s">
        <v>911</v>
      </c>
      <c r="O256" s="31">
        <f>1755</f>
        <v>1755</v>
      </c>
      <c r="P256" s="32" t="s">
        <v>87</v>
      </c>
      <c r="Q256" s="31">
        <f>1850</f>
        <v>1850</v>
      </c>
      <c r="R256" s="32" t="s">
        <v>934</v>
      </c>
      <c r="S256" s="33">
        <f>1862.68</f>
        <v>1862.68</v>
      </c>
      <c r="T256" s="30">
        <f>48547</f>
        <v>48547</v>
      </c>
      <c r="U256" s="30" t="str">
        <f>"－"</f>
        <v>－</v>
      </c>
      <c r="V256" s="30">
        <f>92361065</f>
        <v>92361065</v>
      </c>
      <c r="W256" s="30" t="str">
        <f>"－"</f>
        <v>－</v>
      </c>
      <c r="X256" s="34">
        <f>22</f>
        <v>22</v>
      </c>
    </row>
    <row r="257" spans="1:24" x14ac:dyDescent="0.15">
      <c r="A257" s="25" t="s">
        <v>979</v>
      </c>
      <c r="B257" s="25" t="s">
        <v>805</v>
      </c>
      <c r="C257" s="25" t="s">
        <v>806</v>
      </c>
      <c r="D257" s="25" t="s">
        <v>807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1490</f>
        <v>1490</v>
      </c>
      <c r="L257" s="32" t="s">
        <v>904</v>
      </c>
      <c r="M257" s="31">
        <f>1508</f>
        <v>1508</v>
      </c>
      <c r="N257" s="32" t="s">
        <v>911</v>
      </c>
      <c r="O257" s="31">
        <f>1262</f>
        <v>1262</v>
      </c>
      <c r="P257" s="32" t="s">
        <v>87</v>
      </c>
      <c r="Q257" s="31">
        <f>1380</f>
        <v>1380</v>
      </c>
      <c r="R257" s="32" t="s">
        <v>934</v>
      </c>
      <c r="S257" s="33">
        <f>1394.41</f>
        <v>1394.41</v>
      </c>
      <c r="T257" s="30">
        <f>81274</f>
        <v>81274</v>
      </c>
      <c r="U257" s="30" t="str">
        <f>"－"</f>
        <v>－</v>
      </c>
      <c r="V257" s="30">
        <f>112247062</f>
        <v>112247062</v>
      </c>
      <c r="W257" s="30" t="str">
        <f>"－"</f>
        <v>－</v>
      </c>
      <c r="X257" s="34">
        <f>22</f>
        <v>22</v>
      </c>
    </row>
    <row r="258" spans="1:24" x14ac:dyDescent="0.15">
      <c r="A258" s="25" t="s">
        <v>979</v>
      </c>
      <c r="B258" s="25" t="s">
        <v>824</v>
      </c>
      <c r="C258" s="25" t="s">
        <v>825</v>
      </c>
      <c r="D258" s="25" t="s">
        <v>826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2030</f>
        <v>2030</v>
      </c>
      <c r="L258" s="32" t="s">
        <v>904</v>
      </c>
      <c r="M258" s="31">
        <f>2313</f>
        <v>2313</v>
      </c>
      <c r="N258" s="32" t="s">
        <v>934</v>
      </c>
      <c r="O258" s="31">
        <f>2020</f>
        <v>2020</v>
      </c>
      <c r="P258" s="32" t="s">
        <v>909</v>
      </c>
      <c r="Q258" s="31">
        <f>2313</f>
        <v>2313</v>
      </c>
      <c r="R258" s="32" t="s">
        <v>934</v>
      </c>
      <c r="S258" s="33">
        <f>2218.73</f>
        <v>2218.73</v>
      </c>
      <c r="T258" s="30">
        <f>31787</f>
        <v>31787</v>
      </c>
      <c r="U258" s="30" t="str">
        <f>"－"</f>
        <v>－</v>
      </c>
      <c r="V258" s="30">
        <f>69382234</f>
        <v>69382234</v>
      </c>
      <c r="W258" s="30" t="str">
        <f>"－"</f>
        <v>－</v>
      </c>
      <c r="X258" s="34">
        <f>22</f>
        <v>22</v>
      </c>
    </row>
    <row r="259" spans="1:24" x14ac:dyDescent="0.15">
      <c r="A259" s="25" t="s">
        <v>979</v>
      </c>
      <c r="B259" s="25" t="s">
        <v>827</v>
      </c>
      <c r="C259" s="25" t="s">
        <v>828</v>
      </c>
      <c r="D259" s="25" t="s">
        <v>829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2421</f>
        <v>2421</v>
      </c>
      <c r="L259" s="32" t="s">
        <v>904</v>
      </c>
      <c r="M259" s="31">
        <f>2800</f>
        <v>2800</v>
      </c>
      <c r="N259" s="32" t="s">
        <v>934</v>
      </c>
      <c r="O259" s="31">
        <f>2401</f>
        <v>2401</v>
      </c>
      <c r="P259" s="32" t="s">
        <v>904</v>
      </c>
      <c r="Q259" s="31">
        <f>2797</f>
        <v>2797</v>
      </c>
      <c r="R259" s="32" t="s">
        <v>934</v>
      </c>
      <c r="S259" s="33">
        <f>2633.64</f>
        <v>2633.64</v>
      </c>
      <c r="T259" s="30">
        <f>8585</f>
        <v>8585</v>
      </c>
      <c r="U259" s="30" t="str">
        <f>"－"</f>
        <v>－</v>
      </c>
      <c r="V259" s="30">
        <f>22893222</f>
        <v>22893222</v>
      </c>
      <c r="W259" s="30" t="str">
        <f>"－"</f>
        <v>－</v>
      </c>
      <c r="X259" s="34">
        <f>22</f>
        <v>22</v>
      </c>
    </row>
    <row r="260" spans="1:24" x14ac:dyDescent="0.15">
      <c r="A260" s="25" t="s">
        <v>979</v>
      </c>
      <c r="B260" s="25" t="s">
        <v>830</v>
      </c>
      <c r="C260" s="25" t="s">
        <v>831</v>
      </c>
      <c r="D260" s="25" t="s">
        <v>832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10700</f>
        <v>10700</v>
      </c>
      <c r="L260" s="32" t="s">
        <v>904</v>
      </c>
      <c r="M260" s="31">
        <f>10785</f>
        <v>10785</v>
      </c>
      <c r="N260" s="32" t="s">
        <v>907</v>
      </c>
      <c r="O260" s="31">
        <f>9312</f>
        <v>9312</v>
      </c>
      <c r="P260" s="32" t="s">
        <v>87</v>
      </c>
      <c r="Q260" s="31">
        <f>9658</f>
        <v>9658</v>
      </c>
      <c r="R260" s="32" t="s">
        <v>934</v>
      </c>
      <c r="S260" s="33">
        <f>9985.23</f>
        <v>9985.23</v>
      </c>
      <c r="T260" s="30">
        <f>587705</f>
        <v>587705</v>
      </c>
      <c r="U260" s="30">
        <f>398500</f>
        <v>398500</v>
      </c>
      <c r="V260" s="30">
        <f>5868576649</f>
        <v>5868576649</v>
      </c>
      <c r="W260" s="30">
        <f>3960587962</f>
        <v>3960587962</v>
      </c>
      <c r="X260" s="34">
        <f>22</f>
        <v>22</v>
      </c>
    </row>
    <row r="261" spans="1:24" x14ac:dyDescent="0.15">
      <c r="A261" s="25" t="s">
        <v>979</v>
      </c>
      <c r="B261" s="25" t="s">
        <v>833</v>
      </c>
      <c r="C261" s="25" t="s">
        <v>834</v>
      </c>
      <c r="D261" s="25" t="s">
        <v>835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11765</f>
        <v>11765</v>
      </c>
      <c r="L261" s="32" t="s">
        <v>904</v>
      </c>
      <c r="M261" s="31">
        <f>12210</f>
        <v>12210</v>
      </c>
      <c r="N261" s="32" t="s">
        <v>911</v>
      </c>
      <c r="O261" s="31">
        <f>10570</f>
        <v>10570</v>
      </c>
      <c r="P261" s="32" t="s">
        <v>819</v>
      </c>
      <c r="Q261" s="31">
        <f>11340</f>
        <v>11340</v>
      </c>
      <c r="R261" s="32" t="s">
        <v>934</v>
      </c>
      <c r="S261" s="33">
        <f>11490</f>
        <v>11490</v>
      </c>
      <c r="T261" s="30">
        <f>1355531</f>
        <v>1355531</v>
      </c>
      <c r="U261" s="30">
        <f>123001</f>
        <v>123001</v>
      </c>
      <c r="V261" s="30">
        <f>15439453350</f>
        <v>15439453350</v>
      </c>
      <c r="W261" s="30">
        <f>1458003195</f>
        <v>1458003195</v>
      </c>
      <c r="X261" s="34">
        <f>22</f>
        <v>22</v>
      </c>
    </row>
    <row r="262" spans="1:24" x14ac:dyDescent="0.15">
      <c r="A262" s="25" t="s">
        <v>979</v>
      </c>
      <c r="B262" s="25" t="s">
        <v>836</v>
      </c>
      <c r="C262" s="25" t="s">
        <v>837</v>
      </c>
      <c r="D262" s="25" t="s">
        <v>838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9519</f>
        <v>9519</v>
      </c>
      <c r="L262" s="32" t="s">
        <v>904</v>
      </c>
      <c r="M262" s="31">
        <f>9681</f>
        <v>9681</v>
      </c>
      <c r="N262" s="32" t="s">
        <v>907</v>
      </c>
      <c r="O262" s="31">
        <f>8265</f>
        <v>8265</v>
      </c>
      <c r="P262" s="32" t="s">
        <v>819</v>
      </c>
      <c r="Q262" s="31">
        <f>8584</f>
        <v>8584</v>
      </c>
      <c r="R262" s="32" t="s">
        <v>934</v>
      </c>
      <c r="S262" s="33">
        <f>8903.91</f>
        <v>8903.91</v>
      </c>
      <c r="T262" s="30">
        <f>448547</f>
        <v>448547</v>
      </c>
      <c r="U262" s="30">
        <f>14400</f>
        <v>14400</v>
      </c>
      <c r="V262" s="30">
        <f>3984743206</f>
        <v>3984743206</v>
      </c>
      <c r="W262" s="30">
        <f>122673600</f>
        <v>122673600</v>
      </c>
      <c r="X262" s="34">
        <f>22</f>
        <v>22</v>
      </c>
    </row>
    <row r="263" spans="1:24" x14ac:dyDescent="0.15">
      <c r="A263" s="25" t="s">
        <v>979</v>
      </c>
      <c r="B263" s="25" t="s">
        <v>839</v>
      </c>
      <c r="C263" s="25" t="s">
        <v>840</v>
      </c>
      <c r="D263" s="25" t="s">
        <v>841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2478</f>
        <v>2478</v>
      </c>
      <c r="L263" s="32" t="s">
        <v>904</v>
      </c>
      <c r="M263" s="31">
        <f>2570</f>
        <v>2570</v>
      </c>
      <c r="N263" s="32" t="s">
        <v>911</v>
      </c>
      <c r="O263" s="31">
        <f>2254</f>
        <v>2254</v>
      </c>
      <c r="P263" s="32" t="s">
        <v>819</v>
      </c>
      <c r="Q263" s="31">
        <f>2401</f>
        <v>2401</v>
      </c>
      <c r="R263" s="32" t="s">
        <v>934</v>
      </c>
      <c r="S263" s="33">
        <f>2426.16</f>
        <v>2426.16</v>
      </c>
      <c r="T263" s="30">
        <f>3225130</f>
        <v>3225130</v>
      </c>
      <c r="U263" s="30">
        <f>1695110</f>
        <v>1695110</v>
      </c>
      <c r="V263" s="30">
        <f>7898433060</f>
        <v>7898433060</v>
      </c>
      <c r="W263" s="30">
        <f>4173948240</f>
        <v>4173948240</v>
      </c>
      <c r="X263" s="34">
        <f>22</f>
        <v>22</v>
      </c>
    </row>
    <row r="264" spans="1:24" x14ac:dyDescent="0.15">
      <c r="A264" s="25" t="s">
        <v>979</v>
      </c>
      <c r="B264" s="25" t="s">
        <v>842</v>
      </c>
      <c r="C264" s="25" t="s">
        <v>843</v>
      </c>
      <c r="D264" s="25" t="s">
        <v>844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2093.5</f>
        <v>2093.5</v>
      </c>
      <c r="L264" s="32" t="s">
        <v>904</v>
      </c>
      <c r="M264" s="31">
        <f>2109.5</f>
        <v>2109.5</v>
      </c>
      <c r="N264" s="32" t="s">
        <v>907</v>
      </c>
      <c r="O264" s="31">
        <f>1833</f>
        <v>1833</v>
      </c>
      <c r="P264" s="32" t="s">
        <v>87</v>
      </c>
      <c r="Q264" s="31">
        <f>1898.5</f>
        <v>1898.5</v>
      </c>
      <c r="R264" s="32" t="s">
        <v>934</v>
      </c>
      <c r="S264" s="33">
        <f>1962.82</f>
        <v>1962.82</v>
      </c>
      <c r="T264" s="30">
        <f>4023340</f>
        <v>4023340</v>
      </c>
      <c r="U264" s="30">
        <f>2787300</f>
        <v>2787300</v>
      </c>
      <c r="V264" s="30">
        <f>7807346930</f>
        <v>7807346930</v>
      </c>
      <c r="W264" s="30">
        <f>5347226750</f>
        <v>5347226750</v>
      </c>
      <c r="X264" s="34">
        <f>22</f>
        <v>22</v>
      </c>
    </row>
    <row r="265" spans="1:24" x14ac:dyDescent="0.15">
      <c r="A265" s="25" t="s">
        <v>979</v>
      </c>
      <c r="B265" s="25" t="s">
        <v>845</v>
      </c>
      <c r="C265" s="25" t="s">
        <v>846</v>
      </c>
      <c r="D265" s="25" t="s">
        <v>847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2533.5</f>
        <v>2533.5</v>
      </c>
      <c r="L265" s="32" t="s">
        <v>904</v>
      </c>
      <c r="M265" s="31">
        <f>2636.5</f>
        <v>2636.5</v>
      </c>
      <c r="N265" s="32" t="s">
        <v>911</v>
      </c>
      <c r="O265" s="31">
        <f>2320.5</f>
        <v>2320.5</v>
      </c>
      <c r="P265" s="32" t="s">
        <v>819</v>
      </c>
      <c r="Q265" s="31">
        <f>2472.5</f>
        <v>2472.5</v>
      </c>
      <c r="R265" s="32" t="s">
        <v>934</v>
      </c>
      <c r="S265" s="33">
        <f>2494.64</f>
        <v>2494.64</v>
      </c>
      <c r="T265" s="30">
        <f>94800</f>
        <v>94800</v>
      </c>
      <c r="U265" s="30" t="str">
        <f>"－"</f>
        <v>－</v>
      </c>
      <c r="V265" s="30">
        <f>241374380</f>
        <v>241374380</v>
      </c>
      <c r="W265" s="30" t="str">
        <f>"－"</f>
        <v>－</v>
      </c>
      <c r="X265" s="34">
        <f>22</f>
        <v>22</v>
      </c>
    </row>
    <row r="266" spans="1:24" x14ac:dyDescent="0.15">
      <c r="A266" s="25" t="s">
        <v>979</v>
      </c>
      <c r="B266" s="25" t="s">
        <v>848</v>
      </c>
      <c r="C266" s="25" t="s">
        <v>849</v>
      </c>
      <c r="D266" s="25" t="s">
        <v>850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2546</f>
        <v>2546</v>
      </c>
      <c r="L266" s="32" t="s">
        <v>904</v>
      </c>
      <c r="M266" s="31">
        <f>2605</f>
        <v>2605</v>
      </c>
      <c r="N266" s="32" t="s">
        <v>911</v>
      </c>
      <c r="O266" s="31">
        <f>2339</f>
        <v>2339</v>
      </c>
      <c r="P266" s="32" t="s">
        <v>87</v>
      </c>
      <c r="Q266" s="31">
        <f>2429</f>
        <v>2429</v>
      </c>
      <c r="R266" s="32" t="s">
        <v>934</v>
      </c>
      <c r="S266" s="33">
        <f>2478.64</f>
        <v>2478.64</v>
      </c>
      <c r="T266" s="30">
        <f>3350</f>
        <v>3350</v>
      </c>
      <c r="U266" s="30" t="str">
        <f>"－"</f>
        <v>－</v>
      </c>
      <c r="V266" s="30">
        <f>7998481</f>
        <v>7998481</v>
      </c>
      <c r="W266" s="30" t="str">
        <f>"－"</f>
        <v>－</v>
      </c>
      <c r="X266" s="34">
        <f>22</f>
        <v>22</v>
      </c>
    </row>
    <row r="267" spans="1:24" x14ac:dyDescent="0.15">
      <c r="A267" s="25" t="s">
        <v>979</v>
      </c>
      <c r="B267" s="25" t="s">
        <v>851</v>
      </c>
      <c r="C267" s="25" t="s">
        <v>852</v>
      </c>
      <c r="D267" s="25" t="s">
        <v>853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1513</f>
        <v>1513</v>
      </c>
      <c r="L267" s="32" t="s">
        <v>904</v>
      </c>
      <c r="M267" s="31">
        <f>1589</f>
        <v>1589</v>
      </c>
      <c r="N267" s="32" t="s">
        <v>911</v>
      </c>
      <c r="O267" s="31">
        <f>1422</f>
        <v>1422</v>
      </c>
      <c r="P267" s="32" t="s">
        <v>87</v>
      </c>
      <c r="Q267" s="31">
        <f>1487</f>
        <v>1487</v>
      </c>
      <c r="R267" s="32" t="s">
        <v>934</v>
      </c>
      <c r="S267" s="33">
        <f>1510</f>
        <v>1510</v>
      </c>
      <c r="T267" s="30">
        <f>125185</f>
        <v>125185</v>
      </c>
      <c r="U267" s="30">
        <f>2</f>
        <v>2</v>
      </c>
      <c r="V267" s="30">
        <f>188401280</f>
        <v>188401280</v>
      </c>
      <c r="W267" s="30">
        <f>3023</f>
        <v>3023</v>
      </c>
      <c r="X267" s="34">
        <f>22</f>
        <v>22</v>
      </c>
    </row>
    <row r="268" spans="1:24" x14ac:dyDescent="0.15">
      <c r="A268" s="25" t="s">
        <v>979</v>
      </c>
      <c r="B268" s="25" t="s">
        <v>854</v>
      </c>
      <c r="C268" s="25" t="s">
        <v>855</v>
      </c>
      <c r="D268" s="25" t="s">
        <v>856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1900</f>
        <v>1900</v>
      </c>
      <c r="L268" s="32" t="s">
        <v>904</v>
      </c>
      <c r="M268" s="31">
        <f>2000</f>
        <v>2000</v>
      </c>
      <c r="N268" s="32" t="s">
        <v>911</v>
      </c>
      <c r="O268" s="31">
        <f>1753</f>
        <v>1753</v>
      </c>
      <c r="P268" s="32" t="s">
        <v>87</v>
      </c>
      <c r="Q268" s="31">
        <f>1842</f>
        <v>1842</v>
      </c>
      <c r="R268" s="32" t="s">
        <v>934</v>
      </c>
      <c r="S268" s="33">
        <f>1874.73</f>
        <v>1874.73</v>
      </c>
      <c r="T268" s="30">
        <f>31255</f>
        <v>31255</v>
      </c>
      <c r="U268" s="30" t="str">
        <f t="shared" ref="U268:U273" si="9">"－"</f>
        <v>－</v>
      </c>
      <c r="V268" s="30">
        <f>56599348</f>
        <v>56599348</v>
      </c>
      <c r="W268" s="30" t="str">
        <f t="shared" ref="W268:W273" si="10">"－"</f>
        <v>－</v>
      </c>
      <c r="X268" s="34">
        <f>22</f>
        <v>22</v>
      </c>
    </row>
    <row r="269" spans="1:24" x14ac:dyDescent="0.15">
      <c r="A269" s="25" t="s">
        <v>979</v>
      </c>
      <c r="B269" s="25" t="s">
        <v>857</v>
      </c>
      <c r="C269" s="25" t="s">
        <v>858</v>
      </c>
      <c r="D269" s="25" t="s">
        <v>859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1582</f>
        <v>1582</v>
      </c>
      <c r="L269" s="32" t="s">
        <v>904</v>
      </c>
      <c r="M269" s="31">
        <f>1620</f>
        <v>1620</v>
      </c>
      <c r="N269" s="32" t="s">
        <v>911</v>
      </c>
      <c r="O269" s="31">
        <f>1476</f>
        <v>1476</v>
      </c>
      <c r="P269" s="32" t="s">
        <v>87</v>
      </c>
      <c r="Q269" s="31">
        <f>1565</f>
        <v>1565</v>
      </c>
      <c r="R269" s="32" t="s">
        <v>934</v>
      </c>
      <c r="S269" s="33">
        <f>1551.55</f>
        <v>1551.55</v>
      </c>
      <c r="T269" s="30">
        <f>26356</f>
        <v>26356</v>
      </c>
      <c r="U269" s="30" t="str">
        <f t="shared" si="9"/>
        <v>－</v>
      </c>
      <c r="V269" s="30">
        <f>39946296</f>
        <v>39946296</v>
      </c>
      <c r="W269" s="30" t="str">
        <f t="shared" si="10"/>
        <v>－</v>
      </c>
      <c r="X269" s="34">
        <f>22</f>
        <v>22</v>
      </c>
    </row>
    <row r="270" spans="1:24" x14ac:dyDescent="0.15">
      <c r="A270" s="25" t="s">
        <v>979</v>
      </c>
      <c r="B270" s="25" t="s">
        <v>860</v>
      </c>
      <c r="C270" s="25" t="s">
        <v>861</v>
      </c>
      <c r="D270" s="25" t="s">
        <v>862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2782</f>
        <v>2782</v>
      </c>
      <c r="L270" s="32" t="s">
        <v>904</v>
      </c>
      <c r="M270" s="31">
        <f>2801</f>
        <v>2801</v>
      </c>
      <c r="N270" s="32" t="s">
        <v>911</v>
      </c>
      <c r="O270" s="31">
        <f>2487</f>
        <v>2487</v>
      </c>
      <c r="P270" s="32" t="s">
        <v>819</v>
      </c>
      <c r="Q270" s="31">
        <f>2560</f>
        <v>2560</v>
      </c>
      <c r="R270" s="32" t="s">
        <v>934</v>
      </c>
      <c r="S270" s="33">
        <f>2637.59</f>
        <v>2637.59</v>
      </c>
      <c r="T270" s="30">
        <f>51980</f>
        <v>51980</v>
      </c>
      <c r="U270" s="30" t="str">
        <f t="shared" si="9"/>
        <v>－</v>
      </c>
      <c r="V270" s="30">
        <f>136416976</f>
        <v>136416976</v>
      </c>
      <c r="W270" s="30" t="str">
        <f t="shared" si="10"/>
        <v>－</v>
      </c>
      <c r="X270" s="34">
        <f>22</f>
        <v>22</v>
      </c>
    </row>
    <row r="271" spans="1:24" x14ac:dyDescent="0.15">
      <c r="A271" s="25" t="s">
        <v>979</v>
      </c>
      <c r="B271" s="25" t="s">
        <v>863</v>
      </c>
      <c r="C271" s="25" t="s">
        <v>864</v>
      </c>
      <c r="D271" s="25" t="s">
        <v>865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2074</f>
        <v>2074</v>
      </c>
      <c r="L271" s="32" t="s">
        <v>904</v>
      </c>
      <c r="M271" s="31">
        <f>2140</f>
        <v>2140</v>
      </c>
      <c r="N271" s="32" t="s">
        <v>911</v>
      </c>
      <c r="O271" s="31">
        <f>1937</f>
        <v>1937</v>
      </c>
      <c r="P271" s="32" t="s">
        <v>87</v>
      </c>
      <c r="Q271" s="31">
        <f>1958</f>
        <v>1958</v>
      </c>
      <c r="R271" s="32" t="s">
        <v>934</v>
      </c>
      <c r="S271" s="33">
        <f>2025.41</f>
        <v>2025.41</v>
      </c>
      <c r="T271" s="30">
        <f>122609</f>
        <v>122609</v>
      </c>
      <c r="U271" s="30" t="str">
        <f t="shared" si="9"/>
        <v>－</v>
      </c>
      <c r="V271" s="30">
        <f>243769612</f>
        <v>243769612</v>
      </c>
      <c r="W271" s="30" t="str">
        <f t="shared" si="10"/>
        <v>－</v>
      </c>
      <c r="X271" s="34">
        <f>22</f>
        <v>22</v>
      </c>
    </row>
    <row r="272" spans="1:24" x14ac:dyDescent="0.15">
      <c r="A272" s="25" t="s">
        <v>979</v>
      </c>
      <c r="B272" s="25" t="s">
        <v>866</v>
      </c>
      <c r="C272" s="25" t="s">
        <v>867</v>
      </c>
      <c r="D272" s="25" t="s">
        <v>868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25760</f>
        <v>25760</v>
      </c>
      <c r="L272" s="32" t="s">
        <v>904</v>
      </c>
      <c r="M272" s="31">
        <f>26350</f>
        <v>26350</v>
      </c>
      <c r="N272" s="32" t="s">
        <v>911</v>
      </c>
      <c r="O272" s="31">
        <f>24390</f>
        <v>24390</v>
      </c>
      <c r="P272" s="32" t="s">
        <v>87</v>
      </c>
      <c r="Q272" s="31">
        <f>25200</f>
        <v>25200</v>
      </c>
      <c r="R272" s="32" t="s">
        <v>934</v>
      </c>
      <c r="S272" s="33">
        <f>25368.82</f>
        <v>25368.82</v>
      </c>
      <c r="T272" s="30">
        <f>32</f>
        <v>32</v>
      </c>
      <c r="U272" s="30" t="str">
        <f t="shared" si="9"/>
        <v>－</v>
      </c>
      <c r="V272" s="30">
        <f>811785</f>
        <v>811785</v>
      </c>
      <c r="W272" s="30" t="str">
        <f t="shared" si="10"/>
        <v>－</v>
      </c>
      <c r="X272" s="34">
        <f>17</f>
        <v>17</v>
      </c>
    </row>
    <row r="273" spans="1:24" x14ac:dyDescent="0.15">
      <c r="A273" s="25" t="s">
        <v>979</v>
      </c>
      <c r="B273" s="25" t="s">
        <v>869</v>
      </c>
      <c r="C273" s="25" t="s">
        <v>870</v>
      </c>
      <c r="D273" s="25" t="s">
        <v>871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2026</f>
        <v>2026</v>
      </c>
      <c r="L273" s="32" t="s">
        <v>904</v>
      </c>
      <c r="M273" s="31">
        <f>2099</f>
        <v>2099</v>
      </c>
      <c r="N273" s="32" t="s">
        <v>911</v>
      </c>
      <c r="O273" s="31">
        <f>1890</f>
        <v>1890</v>
      </c>
      <c r="P273" s="32" t="s">
        <v>87</v>
      </c>
      <c r="Q273" s="31">
        <f>1953</f>
        <v>1953</v>
      </c>
      <c r="R273" s="32" t="s">
        <v>934</v>
      </c>
      <c r="S273" s="33">
        <f>1981.48</f>
        <v>1981.48</v>
      </c>
      <c r="T273" s="30">
        <f>1614</f>
        <v>1614</v>
      </c>
      <c r="U273" s="30" t="str">
        <f t="shared" si="9"/>
        <v>－</v>
      </c>
      <c r="V273" s="30">
        <f>3177403</f>
        <v>3177403</v>
      </c>
      <c r="W273" s="30" t="str">
        <f t="shared" si="10"/>
        <v>－</v>
      </c>
      <c r="X273" s="34">
        <f>21</f>
        <v>21</v>
      </c>
    </row>
    <row r="274" spans="1:24" x14ac:dyDescent="0.15">
      <c r="A274" s="25" t="s">
        <v>979</v>
      </c>
      <c r="B274" s="25" t="s">
        <v>872</v>
      </c>
      <c r="C274" s="25" t="s">
        <v>873</v>
      </c>
      <c r="D274" s="25" t="s">
        <v>874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2229</f>
        <v>2229</v>
      </c>
      <c r="L274" s="32" t="s">
        <v>904</v>
      </c>
      <c r="M274" s="31">
        <f>2280</f>
        <v>2280</v>
      </c>
      <c r="N274" s="32" t="s">
        <v>907</v>
      </c>
      <c r="O274" s="31">
        <f>1880</f>
        <v>1880</v>
      </c>
      <c r="P274" s="32" t="s">
        <v>87</v>
      </c>
      <c r="Q274" s="31">
        <f>1919</f>
        <v>1919</v>
      </c>
      <c r="R274" s="32" t="s">
        <v>934</v>
      </c>
      <c r="S274" s="33">
        <f>2078.41</f>
        <v>2078.41</v>
      </c>
      <c r="T274" s="30">
        <f>429575</f>
        <v>429575</v>
      </c>
      <c r="U274" s="30">
        <f>11</f>
        <v>11</v>
      </c>
      <c r="V274" s="30">
        <f>891837419</f>
        <v>891837419</v>
      </c>
      <c r="W274" s="30">
        <f>22133</f>
        <v>22133</v>
      </c>
      <c r="X274" s="34">
        <f>22</f>
        <v>22</v>
      </c>
    </row>
    <row r="275" spans="1:24" x14ac:dyDescent="0.15">
      <c r="A275" s="25" t="s">
        <v>979</v>
      </c>
      <c r="B275" s="25" t="s">
        <v>875</v>
      </c>
      <c r="C275" s="25" t="s">
        <v>876</v>
      </c>
      <c r="D275" s="25" t="s">
        <v>877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1816</f>
        <v>1816</v>
      </c>
      <c r="L275" s="32" t="s">
        <v>904</v>
      </c>
      <c r="M275" s="31">
        <f>1851</f>
        <v>1851</v>
      </c>
      <c r="N275" s="32" t="s">
        <v>911</v>
      </c>
      <c r="O275" s="31">
        <f>1664</f>
        <v>1664</v>
      </c>
      <c r="P275" s="32" t="s">
        <v>87</v>
      </c>
      <c r="Q275" s="31">
        <f>1730</f>
        <v>1730</v>
      </c>
      <c r="R275" s="32" t="s">
        <v>934</v>
      </c>
      <c r="S275" s="33">
        <f>1754.32</f>
        <v>1754.32</v>
      </c>
      <c r="T275" s="30">
        <f>18489</f>
        <v>18489</v>
      </c>
      <c r="U275" s="30" t="str">
        <f>"－"</f>
        <v>－</v>
      </c>
      <c r="V275" s="30">
        <f>32620961</f>
        <v>32620961</v>
      </c>
      <c r="W275" s="30" t="str">
        <f>"－"</f>
        <v>－</v>
      </c>
      <c r="X275" s="34">
        <f>22</f>
        <v>22</v>
      </c>
    </row>
    <row r="276" spans="1:24" x14ac:dyDescent="0.15">
      <c r="A276" s="25" t="s">
        <v>979</v>
      </c>
      <c r="B276" s="25" t="s">
        <v>878</v>
      </c>
      <c r="C276" s="25" t="s">
        <v>879</v>
      </c>
      <c r="D276" s="25" t="s">
        <v>880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1397</f>
        <v>1397</v>
      </c>
      <c r="L276" s="32" t="s">
        <v>904</v>
      </c>
      <c r="M276" s="31">
        <f>1463</f>
        <v>1463</v>
      </c>
      <c r="N276" s="32" t="s">
        <v>912</v>
      </c>
      <c r="O276" s="31">
        <f>1282</f>
        <v>1282</v>
      </c>
      <c r="P276" s="32" t="s">
        <v>820</v>
      </c>
      <c r="Q276" s="31">
        <f>1308</f>
        <v>1308</v>
      </c>
      <c r="R276" s="32" t="s">
        <v>934</v>
      </c>
      <c r="S276" s="33">
        <f>1367.05</f>
        <v>1367.05</v>
      </c>
      <c r="T276" s="30">
        <f>29657</f>
        <v>29657</v>
      </c>
      <c r="U276" s="30" t="str">
        <f>"－"</f>
        <v>－</v>
      </c>
      <c r="V276" s="30">
        <f>40208130</f>
        <v>40208130</v>
      </c>
      <c r="W276" s="30" t="str">
        <f>"－"</f>
        <v>－</v>
      </c>
      <c r="X276" s="34">
        <f>22</f>
        <v>22</v>
      </c>
    </row>
    <row r="277" spans="1:24" x14ac:dyDescent="0.15">
      <c r="A277" s="25" t="s">
        <v>979</v>
      </c>
      <c r="B277" s="25" t="s">
        <v>881</v>
      </c>
      <c r="C277" s="25" t="s">
        <v>882</v>
      </c>
      <c r="D277" s="25" t="s">
        <v>883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5161</f>
        <v>5161</v>
      </c>
      <c r="L277" s="32" t="s">
        <v>909</v>
      </c>
      <c r="M277" s="31">
        <f>5356</f>
        <v>5356</v>
      </c>
      <c r="N277" s="32" t="s">
        <v>934</v>
      </c>
      <c r="O277" s="31">
        <f>5135</f>
        <v>5135</v>
      </c>
      <c r="P277" s="32" t="s">
        <v>915</v>
      </c>
      <c r="Q277" s="31">
        <f>5335</f>
        <v>5335</v>
      </c>
      <c r="R277" s="32" t="s">
        <v>934</v>
      </c>
      <c r="S277" s="33">
        <f>5227.43</f>
        <v>5227.43</v>
      </c>
      <c r="T277" s="30">
        <f>256430</f>
        <v>256430</v>
      </c>
      <c r="U277" s="30">
        <f>193580</f>
        <v>193580</v>
      </c>
      <c r="V277" s="30">
        <f>1345821162</f>
        <v>1345821162</v>
      </c>
      <c r="W277" s="30">
        <f>1017109252</f>
        <v>1017109252</v>
      </c>
      <c r="X277" s="34">
        <f>14</f>
        <v>14</v>
      </c>
    </row>
    <row r="278" spans="1:24" x14ac:dyDescent="0.15">
      <c r="A278" s="25" t="s">
        <v>979</v>
      </c>
      <c r="B278" s="25" t="s">
        <v>884</v>
      </c>
      <c r="C278" s="25" t="s">
        <v>885</v>
      </c>
      <c r="D278" s="25" t="s">
        <v>886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4485</f>
        <v>4485</v>
      </c>
      <c r="L278" s="32" t="s">
        <v>904</v>
      </c>
      <c r="M278" s="31">
        <f>4520</f>
        <v>4520</v>
      </c>
      <c r="N278" s="32" t="s">
        <v>907</v>
      </c>
      <c r="O278" s="31">
        <f>4259</f>
        <v>4259</v>
      </c>
      <c r="P278" s="32" t="s">
        <v>915</v>
      </c>
      <c r="Q278" s="31">
        <f>4362</f>
        <v>4362</v>
      </c>
      <c r="R278" s="32" t="s">
        <v>936</v>
      </c>
      <c r="S278" s="33">
        <f>4370.85</f>
        <v>4370.8500000000004</v>
      </c>
      <c r="T278" s="30">
        <f>346620</f>
        <v>346620</v>
      </c>
      <c r="U278" s="30">
        <f>256000</f>
        <v>256000</v>
      </c>
      <c r="V278" s="30">
        <f>1535221362</f>
        <v>1535221362</v>
      </c>
      <c r="W278" s="30">
        <f>1138415192</f>
        <v>1138415192</v>
      </c>
      <c r="X278" s="34">
        <f>13</f>
        <v>13</v>
      </c>
    </row>
    <row r="279" spans="1:24" x14ac:dyDescent="0.15">
      <c r="A279" s="25" t="s">
        <v>979</v>
      </c>
      <c r="B279" s="25" t="s">
        <v>887</v>
      </c>
      <c r="C279" s="25" t="s">
        <v>888</v>
      </c>
      <c r="D279" s="25" t="s">
        <v>889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747.9</f>
        <v>747.9</v>
      </c>
      <c r="L279" s="32" t="s">
        <v>904</v>
      </c>
      <c r="M279" s="31">
        <f>758.9</f>
        <v>758.9</v>
      </c>
      <c r="N279" s="32" t="s">
        <v>820</v>
      </c>
      <c r="O279" s="31">
        <f>715.2</f>
        <v>715.2</v>
      </c>
      <c r="P279" s="32" t="s">
        <v>915</v>
      </c>
      <c r="Q279" s="31">
        <f>734.8</f>
        <v>734.8</v>
      </c>
      <c r="R279" s="32" t="s">
        <v>934</v>
      </c>
      <c r="S279" s="33">
        <f>733.65</f>
        <v>733.65</v>
      </c>
      <c r="T279" s="30">
        <f>110700</f>
        <v>110700</v>
      </c>
      <c r="U279" s="30">
        <f>15000</f>
        <v>15000</v>
      </c>
      <c r="V279" s="30">
        <f>81071820</f>
        <v>81071820</v>
      </c>
      <c r="W279" s="30">
        <f>11160000</f>
        <v>11160000</v>
      </c>
      <c r="X279" s="34">
        <f>19</f>
        <v>19</v>
      </c>
    </row>
    <row r="280" spans="1:24" x14ac:dyDescent="0.15">
      <c r="A280" s="25" t="s">
        <v>979</v>
      </c>
      <c r="B280" s="25" t="s">
        <v>891</v>
      </c>
      <c r="C280" s="25" t="s">
        <v>892</v>
      </c>
      <c r="D280" s="25" t="s">
        <v>893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2037</f>
        <v>2037</v>
      </c>
      <c r="L280" s="32" t="s">
        <v>904</v>
      </c>
      <c r="M280" s="31">
        <f>2086</f>
        <v>2086</v>
      </c>
      <c r="N280" s="32" t="s">
        <v>911</v>
      </c>
      <c r="O280" s="31">
        <f>1875</f>
        <v>1875</v>
      </c>
      <c r="P280" s="32" t="s">
        <v>87</v>
      </c>
      <c r="Q280" s="31">
        <f>1970</f>
        <v>1970</v>
      </c>
      <c r="R280" s="32" t="s">
        <v>934</v>
      </c>
      <c r="S280" s="33">
        <f>1985.18</f>
        <v>1985.18</v>
      </c>
      <c r="T280" s="30">
        <f>4583</f>
        <v>4583</v>
      </c>
      <c r="U280" s="30" t="str">
        <f>"－"</f>
        <v>－</v>
      </c>
      <c r="V280" s="30">
        <f>9080425</f>
        <v>9080425</v>
      </c>
      <c r="W280" s="30" t="str">
        <f>"－"</f>
        <v>－</v>
      </c>
      <c r="X280" s="34">
        <f>22</f>
        <v>22</v>
      </c>
    </row>
    <row r="281" spans="1:24" x14ac:dyDescent="0.15">
      <c r="A281" s="25" t="s">
        <v>979</v>
      </c>
      <c r="B281" s="25" t="s">
        <v>894</v>
      </c>
      <c r="C281" s="25" t="s">
        <v>895</v>
      </c>
      <c r="D281" s="25" t="s">
        <v>896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1836</f>
        <v>1836</v>
      </c>
      <c r="L281" s="32" t="s">
        <v>904</v>
      </c>
      <c r="M281" s="31">
        <f>1840</f>
        <v>1840</v>
      </c>
      <c r="N281" s="32" t="s">
        <v>904</v>
      </c>
      <c r="O281" s="31">
        <f>1612</f>
        <v>1612</v>
      </c>
      <c r="P281" s="32" t="s">
        <v>87</v>
      </c>
      <c r="Q281" s="31">
        <f>1718</f>
        <v>1718</v>
      </c>
      <c r="R281" s="32" t="s">
        <v>934</v>
      </c>
      <c r="S281" s="33">
        <f>1734.5</f>
        <v>1734.5</v>
      </c>
      <c r="T281" s="30">
        <f>9895</f>
        <v>9895</v>
      </c>
      <c r="U281" s="30" t="str">
        <f>"－"</f>
        <v>－</v>
      </c>
      <c r="V281" s="30">
        <f>16426301</f>
        <v>16426301</v>
      </c>
      <c r="W281" s="30" t="str">
        <f>"－"</f>
        <v>－</v>
      </c>
      <c r="X281" s="34">
        <f>22</f>
        <v>22</v>
      </c>
    </row>
    <row r="282" spans="1:24" x14ac:dyDescent="0.15">
      <c r="A282" s="25" t="s">
        <v>979</v>
      </c>
      <c r="B282" s="25" t="s">
        <v>897</v>
      </c>
      <c r="C282" s="25" t="s">
        <v>898</v>
      </c>
      <c r="D282" s="25" t="s">
        <v>899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7673</f>
        <v>7673</v>
      </c>
      <c r="L282" s="32" t="s">
        <v>904</v>
      </c>
      <c r="M282" s="31">
        <f>7973</f>
        <v>7973</v>
      </c>
      <c r="N282" s="32" t="s">
        <v>934</v>
      </c>
      <c r="O282" s="31">
        <f>7633</f>
        <v>7633</v>
      </c>
      <c r="P282" s="32" t="s">
        <v>695</v>
      </c>
      <c r="Q282" s="31">
        <f>7960</f>
        <v>7960</v>
      </c>
      <c r="R282" s="32" t="s">
        <v>934</v>
      </c>
      <c r="S282" s="33">
        <f>7783.33</f>
        <v>7783.33</v>
      </c>
      <c r="T282" s="30">
        <f>119858</f>
        <v>119858</v>
      </c>
      <c r="U282" s="30">
        <f>39123</f>
        <v>39123</v>
      </c>
      <c r="V282" s="30">
        <f>923672121</f>
        <v>923672121</v>
      </c>
      <c r="W282" s="30">
        <f>299486565</f>
        <v>299486565</v>
      </c>
      <c r="X282" s="34">
        <f>21</f>
        <v>21</v>
      </c>
    </row>
    <row r="283" spans="1:24" x14ac:dyDescent="0.15">
      <c r="A283" s="25" t="s">
        <v>979</v>
      </c>
      <c r="B283" s="25" t="s">
        <v>900</v>
      </c>
      <c r="C283" s="25" t="s">
        <v>901</v>
      </c>
      <c r="D283" s="25" t="s">
        <v>902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6682</f>
        <v>6682</v>
      </c>
      <c r="L283" s="32" t="s">
        <v>904</v>
      </c>
      <c r="M283" s="31">
        <f>6682</f>
        <v>6682</v>
      </c>
      <c r="N283" s="32" t="s">
        <v>904</v>
      </c>
      <c r="O283" s="31">
        <f>6356</f>
        <v>6356</v>
      </c>
      <c r="P283" s="32" t="s">
        <v>915</v>
      </c>
      <c r="Q283" s="31">
        <f>6551</f>
        <v>6551</v>
      </c>
      <c r="R283" s="32" t="s">
        <v>934</v>
      </c>
      <c r="S283" s="33">
        <f>6523.72</f>
        <v>6523.72</v>
      </c>
      <c r="T283" s="30">
        <f>93717</f>
        <v>93717</v>
      </c>
      <c r="U283" s="30" t="str">
        <f>"－"</f>
        <v>－</v>
      </c>
      <c r="V283" s="30">
        <f>602852710</f>
        <v>602852710</v>
      </c>
      <c r="W283" s="30" t="str">
        <f>"－"</f>
        <v>－</v>
      </c>
      <c r="X283" s="34">
        <f>18</f>
        <v>18</v>
      </c>
    </row>
    <row r="284" spans="1:24" x14ac:dyDescent="0.15">
      <c r="A284" s="25" t="s">
        <v>979</v>
      </c>
      <c r="B284" s="25" t="s">
        <v>916</v>
      </c>
      <c r="C284" s="25" t="s">
        <v>917</v>
      </c>
      <c r="D284" s="25" t="s">
        <v>918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15395</f>
        <v>15395</v>
      </c>
      <c r="L284" s="32" t="s">
        <v>904</v>
      </c>
      <c r="M284" s="31">
        <f>16015</f>
        <v>16015</v>
      </c>
      <c r="N284" s="32" t="s">
        <v>911</v>
      </c>
      <c r="O284" s="31">
        <f>13870</f>
        <v>13870</v>
      </c>
      <c r="P284" s="32" t="s">
        <v>819</v>
      </c>
      <c r="Q284" s="31">
        <f>14880</f>
        <v>14880</v>
      </c>
      <c r="R284" s="32" t="s">
        <v>934</v>
      </c>
      <c r="S284" s="33">
        <f>15067.73</f>
        <v>15067.73</v>
      </c>
      <c r="T284" s="30">
        <f>342695</f>
        <v>342695</v>
      </c>
      <c r="U284" s="30" t="str">
        <f>"－"</f>
        <v>－</v>
      </c>
      <c r="V284" s="30">
        <f>5146305880</f>
        <v>5146305880</v>
      </c>
      <c r="W284" s="30" t="str">
        <f>"－"</f>
        <v>－</v>
      </c>
      <c r="X284" s="34">
        <f>22</f>
        <v>22</v>
      </c>
    </row>
    <row r="285" spans="1:24" x14ac:dyDescent="0.15">
      <c r="A285" s="25" t="s">
        <v>979</v>
      </c>
      <c r="B285" s="25" t="s">
        <v>920</v>
      </c>
      <c r="C285" s="25" t="s">
        <v>921</v>
      </c>
      <c r="D285" s="25" t="s">
        <v>922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8926</f>
        <v>8926</v>
      </c>
      <c r="L285" s="32" t="s">
        <v>904</v>
      </c>
      <c r="M285" s="31">
        <f>9081</f>
        <v>9081</v>
      </c>
      <c r="N285" s="32" t="s">
        <v>907</v>
      </c>
      <c r="O285" s="31">
        <f>7775</f>
        <v>7775</v>
      </c>
      <c r="P285" s="32" t="s">
        <v>819</v>
      </c>
      <c r="Q285" s="31">
        <f>8075</f>
        <v>8075</v>
      </c>
      <c r="R285" s="32" t="s">
        <v>934</v>
      </c>
      <c r="S285" s="33">
        <f>8367.27</f>
        <v>8367.27</v>
      </c>
      <c r="T285" s="30">
        <f>105013</f>
        <v>105013</v>
      </c>
      <c r="U285" s="30" t="str">
        <f>"－"</f>
        <v>－</v>
      </c>
      <c r="V285" s="30">
        <f>876258103</f>
        <v>876258103</v>
      </c>
      <c r="W285" s="30" t="str">
        <f>"－"</f>
        <v>－</v>
      </c>
      <c r="X285" s="34">
        <f>22</f>
        <v>22</v>
      </c>
    </row>
    <row r="286" spans="1:24" x14ac:dyDescent="0.15">
      <c r="A286" s="25" t="s">
        <v>979</v>
      </c>
      <c r="B286" s="25" t="s">
        <v>923</v>
      </c>
      <c r="C286" s="25" t="s">
        <v>924</v>
      </c>
      <c r="D286" s="25" t="s">
        <v>925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30010</f>
        <v>30010</v>
      </c>
      <c r="L286" s="32" t="s">
        <v>904</v>
      </c>
      <c r="M286" s="31">
        <f>34440</f>
        <v>34440</v>
      </c>
      <c r="N286" s="32" t="s">
        <v>87</v>
      </c>
      <c r="O286" s="31">
        <f>29450</f>
        <v>29450</v>
      </c>
      <c r="P286" s="32" t="s">
        <v>907</v>
      </c>
      <c r="Q286" s="31">
        <f>32630</f>
        <v>32630</v>
      </c>
      <c r="R286" s="32" t="s">
        <v>934</v>
      </c>
      <c r="S286" s="33">
        <f>31810.68</f>
        <v>31810.68</v>
      </c>
      <c r="T286" s="30">
        <f>540626</f>
        <v>540626</v>
      </c>
      <c r="U286" s="30">
        <f>76500</f>
        <v>76500</v>
      </c>
      <c r="V286" s="30">
        <f>17406430252</f>
        <v>17406430252</v>
      </c>
      <c r="W286" s="30">
        <f>2363548392</f>
        <v>2363548392</v>
      </c>
      <c r="X286" s="34">
        <f>22</f>
        <v>22</v>
      </c>
    </row>
    <row r="287" spans="1:24" x14ac:dyDescent="0.15">
      <c r="A287" s="25" t="s">
        <v>979</v>
      </c>
      <c r="B287" s="25" t="s">
        <v>926</v>
      </c>
      <c r="C287" s="25" t="s">
        <v>927</v>
      </c>
      <c r="D287" s="25" t="s">
        <v>928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4525</f>
        <v>4525</v>
      </c>
      <c r="L287" s="32" t="s">
        <v>904</v>
      </c>
      <c r="M287" s="31">
        <f>4525</f>
        <v>4525</v>
      </c>
      <c r="N287" s="32" t="s">
        <v>904</v>
      </c>
      <c r="O287" s="31">
        <f>4272</f>
        <v>4272</v>
      </c>
      <c r="P287" s="32" t="s">
        <v>819</v>
      </c>
      <c r="Q287" s="31">
        <f>4414</f>
        <v>4414</v>
      </c>
      <c r="R287" s="32" t="s">
        <v>94</v>
      </c>
      <c r="S287" s="33">
        <f>4411.13</f>
        <v>4411.13</v>
      </c>
      <c r="T287" s="30">
        <f>164660</f>
        <v>164660</v>
      </c>
      <c r="U287" s="30" t="str">
        <f>"－"</f>
        <v>－</v>
      </c>
      <c r="V287" s="30">
        <f>732219710</f>
        <v>732219710</v>
      </c>
      <c r="W287" s="30" t="str">
        <f>"－"</f>
        <v>－</v>
      </c>
      <c r="X287" s="34">
        <f>15</f>
        <v>15</v>
      </c>
    </row>
    <row r="288" spans="1:24" x14ac:dyDescent="0.15">
      <c r="A288" s="25" t="s">
        <v>979</v>
      </c>
      <c r="B288" s="25" t="s">
        <v>930</v>
      </c>
      <c r="C288" s="25" t="s">
        <v>931</v>
      </c>
      <c r="D288" s="25" t="s">
        <v>932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5090</f>
        <v>5090</v>
      </c>
      <c r="L288" s="32" t="s">
        <v>904</v>
      </c>
      <c r="M288" s="31">
        <f>5279</f>
        <v>5279</v>
      </c>
      <c r="N288" s="32" t="s">
        <v>909</v>
      </c>
      <c r="O288" s="31">
        <f>4837</f>
        <v>4837</v>
      </c>
      <c r="P288" s="32" t="s">
        <v>915</v>
      </c>
      <c r="Q288" s="31">
        <f>5058</f>
        <v>5058</v>
      </c>
      <c r="R288" s="32" t="s">
        <v>934</v>
      </c>
      <c r="S288" s="33">
        <f>5036.68</f>
        <v>5036.68</v>
      </c>
      <c r="T288" s="30">
        <f>504630</f>
        <v>504630</v>
      </c>
      <c r="U288" s="30">
        <f>444000</f>
        <v>444000</v>
      </c>
      <c r="V288" s="30">
        <f>2508630020</f>
        <v>2508630020</v>
      </c>
      <c r="W288" s="30">
        <f>2199470800</f>
        <v>2199470800</v>
      </c>
      <c r="X288" s="34">
        <f>19</f>
        <v>19</v>
      </c>
    </row>
    <row r="289" spans="1:24" x14ac:dyDescent="0.15">
      <c r="A289" s="25" t="s">
        <v>979</v>
      </c>
      <c r="B289" s="25" t="s">
        <v>949</v>
      </c>
      <c r="C289" s="25" t="s">
        <v>950</v>
      </c>
      <c r="D289" s="25" t="s">
        <v>951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1863</f>
        <v>1863</v>
      </c>
      <c r="L289" s="32" t="s">
        <v>904</v>
      </c>
      <c r="M289" s="31">
        <f>1891.5</f>
        <v>1891.5</v>
      </c>
      <c r="N289" s="32" t="s">
        <v>907</v>
      </c>
      <c r="O289" s="31">
        <f>1625</f>
        <v>1625</v>
      </c>
      <c r="P289" s="32" t="s">
        <v>819</v>
      </c>
      <c r="Q289" s="31">
        <f>1682.5</f>
        <v>1682.5</v>
      </c>
      <c r="R289" s="32" t="s">
        <v>934</v>
      </c>
      <c r="S289" s="33">
        <f>1744.09</f>
        <v>1744.09</v>
      </c>
      <c r="T289" s="30">
        <f>1652320</f>
        <v>1652320</v>
      </c>
      <c r="U289" s="30">
        <f>296000</f>
        <v>296000</v>
      </c>
      <c r="V289" s="30">
        <f>2821206995</f>
        <v>2821206995</v>
      </c>
      <c r="W289" s="30">
        <f>503378175</f>
        <v>503378175</v>
      </c>
      <c r="X289" s="34">
        <f>22</f>
        <v>22</v>
      </c>
    </row>
    <row r="290" spans="1:24" x14ac:dyDescent="0.15">
      <c r="A290" s="25" t="s">
        <v>979</v>
      </c>
      <c r="B290" s="25" t="s">
        <v>953</v>
      </c>
      <c r="C290" s="25" t="s">
        <v>954</v>
      </c>
      <c r="D290" s="25" t="s">
        <v>955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1960</f>
        <v>1960</v>
      </c>
      <c r="L290" s="32" t="s">
        <v>904</v>
      </c>
      <c r="M290" s="31">
        <f>1967</f>
        <v>1967</v>
      </c>
      <c r="N290" s="32" t="s">
        <v>907</v>
      </c>
      <c r="O290" s="31">
        <f>1749</f>
        <v>1749</v>
      </c>
      <c r="P290" s="32" t="s">
        <v>87</v>
      </c>
      <c r="Q290" s="31">
        <f>1812.5</f>
        <v>1812.5</v>
      </c>
      <c r="R290" s="32" t="s">
        <v>934</v>
      </c>
      <c r="S290" s="33">
        <f>1855.36</f>
        <v>1855.36</v>
      </c>
      <c r="T290" s="30">
        <f>687480</f>
        <v>687480</v>
      </c>
      <c r="U290" s="30">
        <f>512000</f>
        <v>512000</v>
      </c>
      <c r="V290" s="30">
        <f>1326218590</f>
        <v>1326218590</v>
      </c>
      <c r="W290" s="30">
        <f>999424000</f>
        <v>999424000</v>
      </c>
      <c r="X290" s="34">
        <f>22</f>
        <v>22</v>
      </c>
    </row>
    <row r="291" spans="1:24" x14ac:dyDescent="0.15">
      <c r="A291" s="25" t="s">
        <v>979</v>
      </c>
      <c r="B291" s="25" t="s">
        <v>956</v>
      </c>
      <c r="C291" s="25" t="s">
        <v>957</v>
      </c>
      <c r="D291" s="25" t="s">
        <v>958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1534</f>
        <v>1534</v>
      </c>
      <c r="L291" s="32" t="s">
        <v>904</v>
      </c>
      <c r="M291" s="31">
        <f>1588</f>
        <v>1588</v>
      </c>
      <c r="N291" s="32" t="s">
        <v>911</v>
      </c>
      <c r="O291" s="31">
        <f>1455</f>
        <v>1455</v>
      </c>
      <c r="P291" s="32" t="s">
        <v>87</v>
      </c>
      <c r="Q291" s="31">
        <f>1528</f>
        <v>1528</v>
      </c>
      <c r="R291" s="32" t="s">
        <v>934</v>
      </c>
      <c r="S291" s="33">
        <f>1522.32</f>
        <v>1522.32</v>
      </c>
      <c r="T291" s="30">
        <f>2818</f>
        <v>2818</v>
      </c>
      <c r="U291" s="30" t="str">
        <f>"－"</f>
        <v>－</v>
      </c>
      <c r="V291" s="30">
        <f>4370205</f>
        <v>4370205</v>
      </c>
      <c r="W291" s="30" t="str">
        <f>"－"</f>
        <v>－</v>
      </c>
      <c r="X291" s="34">
        <f>22</f>
        <v>22</v>
      </c>
    </row>
    <row r="292" spans="1:24" x14ac:dyDescent="0.15">
      <c r="A292" s="25" t="s">
        <v>979</v>
      </c>
      <c r="B292" s="25" t="s">
        <v>960</v>
      </c>
      <c r="C292" s="25" t="s">
        <v>961</v>
      </c>
      <c r="D292" s="25" t="s">
        <v>962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1534</f>
        <v>1534</v>
      </c>
      <c r="L292" s="32" t="s">
        <v>904</v>
      </c>
      <c r="M292" s="31">
        <f>1573</f>
        <v>1573</v>
      </c>
      <c r="N292" s="32" t="s">
        <v>911</v>
      </c>
      <c r="O292" s="31">
        <f>1435</f>
        <v>1435</v>
      </c>
      <c r="P292" s="32" t="s">
        <v>87</v>
      </c>
      <c r="Q292" s="31">
        <f>1485</f>
        <v>1485</v>
      </c>
      <c r="R292" s="32" t="s">
        <v>934</v>
      </c>
      <c r="S292" s="33">
        <f>1508.05</f>
        <v>1508.05</v>
      </c>
      <c r="T292" s="30">
        <f>1336</f>
        <v>1336</v>
      </c>
      <c r="U292" s="30" t="str">
        <f>"－"</f>
        <v>－</v>
      </c>
      <c r="V292" s="30">
        <f>2041152</f>
        <v>2041152</v>
      </c>
      <c r="W292" s="30" t="str">
        <f>"－"</f>
        <v>－</v>
      </c>
      <c r="X292" s="34">
        <f>21</f>
        <v>21</v>
      </c>
    </row>
    <row r="293" spans="1:24" x14ac:dyDescent="0.15">
      <c r="A293" s="25" t="s">
        <v>979</v>
      </c>
      <c r="B293" s="25" t="s">
        <v>963</v>
      </c>
      <c r="C293" s="25" t="s">
        <v>964</v>
      </c>
      <c r="D293" s="25" t="s">
        <v>965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3075</f>
        <v>3075</v>
      </c>
      <c r="L293" s="32" t="s">
        <v>904</v>
      </c>
      <c r="M293" s="31">
        <f>3140</f>
        <v>3140</v>
      </c>
      <c r="N293" s="32" t="s">
        <v>911</v>
      </c>
      <c r="O293" s="31">
        <f>2965</f>
        <v>2965</v>
      </c>
      <c r="P293" s="32" t="s">
        <v>819</v>
      </c>
      <c r="Q293" s="31">
        <f>3105</f>
        <v>3105</v>
      </c>
      <c r="R293" s="32" t="s">
        <v>934</v>
      </c>
      <c r="S293" s="33">
        <f>3073.73</f>
        <v>3073.73</v>
      </c>
      <c r="T293" s="30">
        <f>3245</f>
        <v>3245</v>
      </c>
      <c r="U293" s="30" t="str">
        <f>"－"</f>
        <v>－</v>
      </c>
      <c r="V293" s="30">
        <f>9937446</f>
        <v>9937446</v>
      </c>
      <c r="W293" s="30" t="str">
        <f>"－"</f>
        <v>－</v>
      </c>
      <c r="X293" s="34">
        <f>22</f>
        <v>22</v>
      </c>
    </row>
    <row r="294" spans="1:24" x14ac:dyDescent="0.15">
      <c r="A294" s="25" t="s">
        <v>979</v>
      </c>
      <c r="B294" s="25" t="s">
        <v>967</v>
      </c>
      <c r="C294" s="25" t="s">
        <v>968</v>
      </c>
      <c r="D294" s="25" t="s">
        <v>969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1975.5</f>
        <v>1975.5</v>
      </c>
      <c r="L294" s="32" t="s">
        <v>904</v>
      </c>
      <c r="M294" s="31">
        <f>2023</f>
        <v>2023</v>
      </c>
      <c r="N294" s="32" t="s">
        <v>912</v>
      </c>
      <c r="O294" s="31">
        <f>1835.5</f>
        <v>1835.5</v>
      </c>
      <c r="P294" s="32" t="s">
        <v>87</v>
      </c>
      <c r="Q294" s="31">
        <f>1943</f>
        <v>1943</v>
      </c>
      <c r="R294" s="32" t="s">
        <v>94</v>
      </c>
      <c r="S294" s="33">
        <f>1929.83</f>
        <v>1929.83</v>
      </c>
      <c r="T294" s="30">
        <f>1590</f>
        <v>1590</v>
      </c>
      <c r="U294" s="30" t="str">
        <f>"－"</f>
        <v>－</v>
      </c>
      <c r="V294" s="30">
        <f>3102795</f>
        <v>3102795</v>
      </c>
      <c r="W294" s="30" t="str">
        <f>"－"</f>
        <v>－</v>
      </c>
      <c r="X294" s="34">
        <f>12</f>
        <v>12</v>
      </c>
    </row>
    <row r="295" spans="1:24" x14ac:dyDescent="0.15">
      <c r="A295" s="25" t="s">
        <v>979</v>
      </c>
      <c r="B295" s="25" t="s">
        <v>982</v>
      </c>
      <c r="C295" s="25" t="s">
        <v>983</v>
      </c>
      <c r="D295" s="25" t="s">
        <v>984</v>
      </c>
      <c r="E295" s="26" t="s">
        <v>808</v>
      </c>
      <c r="F295" s="27" t="s">
        <v>809</v>
      </c>
      <c r="G295" s="28" t="s">
        <v>985</v>
      </c>
      <c r="H295" s="29"/>
      <c r="I295" s="29" t="s">
        <v>46</v>
      </c>
      <c r="J295" s="30">
        <v>10</v>
      </c>
      <c r="K295" s="31">
        <f>240.3</f>
        <v>240.3</v>
      </c>
      <c r="L295" s="32" t="s">
        <v>912</v>
      </c>
      <c r="M295" s="31">
        <f>249.8</f>
        <v>249.8</v>
      </c>
      <c r="N295" s="32" t="s">
        <v>912</v>
      </c>
      <c r="O295" s="31">
        <f>177</f>
        <v>177</v>
      </c>
      <c r="P295" s="32" t="s">
        <v>87</v>
      </c>
      <c r="Q295" s="31">
        <f>191.4</f>
        <v>191.4</v>
      </c>
      <c r="R295" s="32" t="s">
        <v>934</v>
      </c>
      <c r="S295" s="33">
        <f>196.44</f>
        <v>196.44</v>
      </c>
      <c r="T295" s="30">
        <f>93870</f>
        <v>93870</v>
      </c>
      <c r="U295" s="30" t="str">
        <f>"－"</f>
        <v>－</v>
      </c>
      <c r="V295" s="30">
        <f>19219051</f>
        <v>19219051</v>
      </c>
      <c r="W295" s="30" t="str">
        <f>"－"</f>
        <v>－</v>
      </c>
      <c r="X295" s="34">
        <f>17</f>
        <v>17</v>
      </c>
    </row>
    <row r="296" spans="1:24" x14ac:dyDescent="0.15">
      <c r="A296" s="25" t="s">
        <v>979</v>
      </c>
      <c r="B296" s="25" t="s">
        <v>972</v>
      </c>
      <c r="C296" s="25" t="s">
        <v>973</v>
      </c>
      <c r="D296" s="25" t="s">
        <v>974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201.1</f>
        <v>201.1</v>
      </c>
      <c r="L296" s="32" t="s">
        <v>904</v>
      </c>
      <c r="M296" s="31">
        <f>204</f>
        <v>204</v>
      </c>
      <c r="N296" s="32" t="s">
        <v>56</v>
      </c>
      <c r="O296" s="31">
        <f>195.1</f>
        <v>195.1</v>
      </c>
      <c r="P296" s="32" t="s">
        <v>935</v>
      </c>
      <c r="Q296" s="31">
        <f>200</f>
        <v>200</v>
      </c>
      <c r="R296" s="32" t="s">
        <v>934</v>
      </c>
      <c r="S296" s="33">
        <f>200.51</f>
        <v>200.51</v>
      </c>
      <c r="T296" s="30">
        <f>45260</f>
        <v>45260</v>
      </c>
      <c r="U296" s="30">
        <f>20310</f>
        <v>20310</v>
      </c>
      <c r="V296" s="30">
        <f>8984812</f>
        <v>8984812</v>
      </c>
      <c r="W296" s="30">
        <f>4021380</f>
        <v>4021380</v>
      </c>
      <c r="X296" s="34">
        <f>22</f>
        <v>22</v>
      </c>
    </row>
    <row r="297" spans="1:24" x14ac:dyDescent="0.15">
      <c r="A297" s="25" t="s">
        <v>979</v>
      </c>
      <c r="B297" s="25" t="s">
        <v>976</v>
      </c>
      <c r="C297" s="25" t="s">
        <v>977</v>
      </c>
      <c r="D297" s="25" t="s">
        <v>978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801.4</f>
        <v>801.4</v>
      </c>
      <c r="L297" s="32" t="s">
        <v>904</v>
      </c>
      <c r="M297" s="31">
        <f>801.4</f>
        <v>801.4</v>
      </c>
      <c r="N297" s="32" t="s">
        <v>904</v>
      </c>
      <c r="O297" s="31">
        <f>755.6</f>
        <v>755.6</v>
      </c>
      <c r="P297" s="32" t="s">
        <v>66</v>
      </c>
      <c r="Q297" s="31">
        <f>776.3</f>
        <v>776.3</v>
      </c>
      <c r="R297" s="32" t="s">
        <v>934</v>
      </c>
      <c r="S297" s="33">
        <f>779.1</f>
        <v>779.1</v>
      </c>
      <c r="T297" s="30">
        <f>63690</f>
        <v>63690</v>
      </c>
      <c r="U297" s="30">
        <f>62880</f>
        <v>62880</v>
      </c>
      <c r="V297" s="30">
        <f>48937743</f>
        <v>48937743</v>
      </c>
      <c r="W297" s="30">
        <f>48308070</f>
        <v>48308070</v>
      </c>
      <c r="X297" s="34">
        <f>17</f>
        <v>17</v>
      </c>
    </row>
    <row r="298" spans="1:24" x14ac:dyDescent="0.15">
      <c r="A298" s="25" t="s">
        <v>979</v>
      </c>
      <c r="B298" s="25" t="s">
        <v>986</v>
      </c>
      <c r="C298" s="25" t="s">
        <v>987</v>
      </c>
      <c r="D298" s="25" t="s">
        <v>988</v>
      </c>
      <c r="E298" s="26" t="s">
        <v>808</v>
      </c>
      <c r="F298" s="27" t="s">
        <v>809</v>
      </c>
      <c r="G298" s="28" t="s">
        <v>989</v>
      </c>
      <c r="H298" s="29"/>
      <c r="I298" s="29" t="s">
        <v>46</v>
      </c>
      <c r="J298" s="30">
        <v>1</v>
      </c>
      <c r="K298" s="31">
        <f>982</f>
        <v>982</v>
      </c>
      <c r="L298" s="32" t="s">
        <v>820</v>
      </c>
      <c r="M298" s="31">
        <f>1030</f>
        <v>1030</v>
      </c>
      <c r="N298" s="32" t="s">
        <v>266</v>
      </c>
      <c r="O298" s="31">
        <f>982</f>
        <v>982</v>
      </c>
      <c r="P298" s="32" t="s">
        <v>820</v>
      </c>
      <c r="Q298" s="31">
        <f>999</f>
        <v>999</v>
      </c>
      <c r="R298" s="32" t="s">
        <v>934</v>
      </c>
      <c r="S298" s="33">
        <f>1017.8</f>
        <v>1017.8</v>
      </c>
      <c r="T298" s="30">
        <f>23464</f>
        <v>23464</v>
      </c>
      <c r="U298" s="30" t="str">
        <f>"－"</f>
        <v>－</v>
      </c>
      <c r="V298" s="30">
        <f>23779987</f>
        <v>23779987</v>
      </c>
      <c r="W298" s="30" t="str">
        <f>"－"</f>
        <v>－</v>
      </c>
      <c r="X298" s="34">
        <f>5</f>
        <v>5</v>
      </c>
    </row>
    <row r="299" spans="1:24" x14ac:dyDescent="0.15">
      <c r="A299" s="25" t="s">
        <v>979</v>
      </c>
      <c r="B299" s="25" t="s">
        <v>990</v>
      </c>
      <c r="C299" s="25" t="s">
        <v>991</v>
      </c>
      <c r="D299" s="25" t="s">
        <v>992</v>
      </c>
      <c r="E299" s="26" t="s">
        <v>808</v>
      </c>
      <c r="F299" s="27" t="s">
        <v>809</v>
      </c>
      <c r="G299" s="28" t="s">
        <v>989</v>
      </c>
      <c r="H299" s="29"/>
      <c r="I299" s="29" t="s">
        <v>46</v>
      </c>
      <c r="J299" s="30">
        <v>1</v>
      </c>
      <c r="K299" s="31">
        <f>1001</f>
        <v>1001</v>
      </c>
      <c r="L299" s="32" t="s">
        <v>820</v>
      </c>
      <c r="M299" s="31">
        <f>1040</f>
        <v>1040</v>
      </c>
      <c r="N299" s="32" t="s">
        <v>934</v>
      </c>
      <c r="O299" s="31">
        <f>997</f>
        <v>997</v>
      </c>
      <c r="P299" s="32" t="s">
        <v>820</v>
      </c>
      <c r="Q299" s="31">
        <f>1030</f>
        <v>1030</v>
      </c>
      <c r="R299" s="32" t="s">
        <v>934</v>
      </c>
      <c r="S299" s="33">
        <f>1021.6</f>
        <v>1021.6</v>
      </c>
      <c r="T299" s="30">
        <f>22137</f>
        <v>22137</v>
      </c>
      <c r="U299" s="30" t="str">
        <f>"－"</f>
        <v>－</v>
      </c>
      <c r="V299" s="30">
        <f>22653156</f>
        <v>22653156</v>
      </c>
      <c r="W299" s="30" t="str">
        <f>"－"</f>
        <v>－</v>
      </c>
      <c r="X299" s="34">
        <f>5</f>
        <v>5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4701-6BEB-4680-9F08-04C47B718D39}">
  <sheetPr>
    <pageSetUpPr fitToPage="1"/>
  </sheetPr>
  <dimension ref="A1:X296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971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2021.5</f>
        <v>2021.5</v>
      </c>
      <c r="L7" s="32" t="s">
        <v>909</v>
      </c>
      <c r="M7" s="31">
        <f>2054.5</f>
        <v>2054.5</v>
      </c>
      <c r="N7" s="32" t="s">
        <v>934</v>
      </c>
      <c r="O7" s="31">
        <f>1945.5</f>
        <v>1945.5</v>
      </c>
      <c r="P7" s="32" t="s">
        <v>813</v>
      </c>
      <c r="Q7" s="31">
        <f>2039</f>
        <v>2039</v>
      </c>
      <c r="R7" s="32" t="s">
        <v>818</v>
      </c>
      <c r="S7" s="33">
        <f>2007.58</f>
        <v>2007.58</v>
      </c>
      <c r="T7" s="30">
        <f>7508800</f>
        <v>7508800</v>
      </c>
      <c r="U7" s="30">
        <f>2787490</f>
        <v>2787490</v>
      </c>
      <c r="V7" s="30">
        <f>14974180081</f>
        <v>14974180081</v>
      </c>
      <c r="W7" s="30">
        <f>5559228296</f>
        <v>5559228296</v>
      </c>
      <c r="X7" s="34">
        <f>19</f>
        <v>19</v>
      </c>
    </row>
    <row r="8" spans="1:24" x14ac:dyDescent="0.15">
      <c r="A8" s="25" t="s">
        <v>971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2000.5</f>
        <v>2000.5</v>
      </c>
      <c r="L8" s="32" t="s">
        <v>909</v>
      </c>
      <c r="M8" s="31">
        <f>2031.5</f>
        <v>2031.5</v>
      </c>
      <c r="N8" s="32" t="s">
        <v>934</v>
      </c>
      <c r="O8" s="31">
        <f>1925.5</f>
        <v>1925.5</v>
      </c>
      <c r="P8" s="32" t="s">
        <v>813</v>
      </c>
      <c r="Q8" s="31">
        <f>2015</f>
        <v>2015</v>
      </c>
      <c r="R8" s="32" t="s">
        <v>818</v>
      </c>
      <c r="S8" s="33">
        <f>1981.26</f>
        <v>1981.26</v>
      </c>
      <c r="T8" s="30">
        <f>44694120</f>
        <v>44694120</v>
      </c>
      <c r="U8" s="30">
        <f>3193660</f>
        <v>3193660</v>
      </c>
      <c r="V8" s="30">
        <f>88304317831</f>
        <v>88304317831</v>
      </c>
      <c r="W8" s="30">
        <f>6316127276</f>
        <v>6316127276</v>
      </c>
      <c r="X8" s="34">
        <f>19</f>
        <v>19</v>
      </c>
    </row>
    <row r="9" spans="1:24" x14ac:dyDescent="0.15">
      <c r="A9" s="25" t="s">
        <v>971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1977.5</f>
        <v>1977.5</v>
      </c>
      <c r="L9" s="32" t="s">
        <v>909</v>
      </c>
      <c r="M9" s="31">
        <f>2008.5</f>
        <v>2008.5</v>
      </c>
      <c r="N9" s="32" t="s">
        <v>934</v>
      </c>
      <c r="O9" s="31">
        <f>1903</f>
        <v>1903</v>
      </c>
      <c r="P9" s="32" t="s">
        <v>813</v>
      </c>
      <c r="Q9" s="31">
        <f>1992.5</f>
        <v>1992.5</v>
      </c>
      <c r="R9" s="32" t="s">
        <v>818</v>
      </c>
      <c r="S9" s="33">
        <f>1958.29</f>
        <v>1958.29</v>
      </c>
      <c r="T9" s="30">
        <f>17486800</f>
        <v>17486800</v>
      </c>
      <c r="U9" s="30">
        <f>1120600</f>
        <v>1120600</v>
      </c>
      <c r="V9" s="30">
        <f>34346766430</f>
        <v>34346766430</v>
      </c>
      <c r="W9" s="30">
        <f>2233813580</f>
        <v>2233813580</v>
      </c>
      <c r="X9" s="34">
        <f>19</f>
        <v>19</v>
      </c>
    </row>
    <row r="10" spans="1:24" x14ac:dyDescent="0.15">
      <c r="A10" s="25" t="s">
        <v>971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40490</f>
        <v>40490</v>
      </c>
      <c r="L10" s="32" t="s">
        <v>909</v>
      </c>
      <c r="M10" s="31">
        <f>40810</f>
        <v>40810</v>
      </c>
      <c r="N10" s="32" t="s">
        <v>814</v>
      </c>
      <c r="O10" s="31">
        <f>38410</f>
        <v>38410</v>
      </c>
      <c r="P10" s="32" t="s">
        <v>905</v>
      </c>
      <c r="Q10" s="31">
        <f>40780</f>
        <v>40780</v>
      </c>
      <c r="R10" s="32" t="s">
        <v>818</v>
      </c>
      <c r="S10" s="33">
        <f>39801.58</f>
        <v>39801.58</v>
      </c>
      <c r="T10" s="30">
        <f>3340</f>
        <v>3340</v>
      </c>
      <c r="U10" s="30">
        <f>4</f>
        <v>4</v>
      </c>
      <c r="V10" s="30">
        <f>132623940</f>
        <v>132623940</v>
      </c>
      <c r="W10" s="30">
        <f>160160</f>
        <v>160160</v>
      </c>
      <c r="X10" s="34">
        <f>19</f>
        <v>19</v>
      </c>
    </row>
    <row r="11" spans="1:24" x14ac:dyDescent="0.15">
      <c r="A11" s="25" t="s">
        <v>971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935</f>
        <v>935</v>
      </c>
      <c r="L11" s="32" t="s">
        <v>909</v>
      </c>
      <c r="M11" s="31">
        <f>953.7</f>
        <v>953.7</v>
      </c>
      <c r="N11" s="32" t="s">
        <v>818</v>
      </c>
      <c r="O11" s="31">
        <f>890.7</f>
        <v>890.7</v>
      </c>
      <c r="P11" s="32" t="s">
        <v>813</v>
      </c>
      <c r="Q11" s="31">
        <f>949.4</f>
        <v>949.4</v>
      </c>
      <c r="R11" s="32" t="s">
        <v>818</v>
      </c>
      <c r="S11" s="33">
        <f>924.29</f>
        <v>924.29</v>
      </c>
      <c r="T11" s="30">
        <f>92630</f>
        <v>92630</v>
      </c>
      <c r="U11" s="30">
        <f>10</f>
        <v>10</v>
      </c>
      <c r="V11" s="30">
        <f>85636661</f>
        <v>85636661</v>
      </c>
      <c r="W11" s="30">
        <f>8511</f>
        <v>8511</v>
      </c>
      <c r="X11" s="34">
        <f>19</f>
        <v>19</v>
      </c>
    </row>
    <row r="12" spans="1:24" x14ac:dyDescent="0.15">
      <c r="A12" s="25" t="s">
        <v>971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18885</f>
        <v>18885</v>
      </c>
      <c r="L12" s="32" t="s">
        <v>909</v>
      </c>
      <c r="M12" s="31">
        <f>19530</f>
        <v>19530</v>
      </c>
      <c r="N12" s="32" t="s">
        <v>934</v>
      </c>
      <c r="O12" s="31">
        <f>18305</f>
        <v>18305</v>
      </c>
      <c r="P12" s="32" t="s">
        <v>816</v>
      </c>
      <c r="Q12" s="31">
        <f>18920</f>
        <v>18920</v>
      </c>
      <c r="R12" s="32" t="s">
        <v>818</v>
      </c>
      <c r="S12" s="33">
        <f>18830.88</f>
        <v>18830.88</v>
      </c>
      <c r="T12" s="30">
        <f>602</f>
        <v>602</v>
      </c>
      <c r="U12" s="30" t="str">
        <f>"－"</f>
        <v>－</v>
      </c>
      <c r="V12" s="30">
        <f>11359220</f>
        <v>11359220</v>
      </c>
      <c r="W12" s="30" t="str">
        <f>"－"</f>
        <v>－</v>
      </c>
      <c r="X12" s="34">
        <f>17</f>
        <v>17</v>
      </c>
    </row>
    <row r="13" spans="1:24" x14ac:dyDescent="0.15">
      <c r="A13" s="25" t="s">
        <v>971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3570</f>
        <v>3570</v>
      </c>
      <c r="L13" s="32" t="s">
        <v>909</v>
      </c>
      <c r="M13" s="31">
        <f>3949</f>
        <v>3949</v>
      </c>
      <c r="N13" s="32" t="s">
        <v>80</v>
      </c>
      <c r="O13" s="31">
        <f>3512</f>
        <v>3512</v>
      </c>
      <c r="P13" s="32" t="s">
        <v>909</v>
      </c>
      <c r="Q13" s="31">
        <f>3601</f>
        <v>3601</v>
      </c>
      <c r="R13" s="32" t="s">
        <v>266</v>
      </c>
      <c r="S13" s="33">
        <f>3689.2</f>
        <v>3689.2</v>
      </c>
      <c r="T13" s="30">
        <f>1010</f>
        <v>1010</v>
      </c>
      <c r="U13" s="30" t="str">
        <f>"－"</f>
        <v>－</v>
      </c>
      <c r="V13" s="30">
        <f>3693340</f>
        <v>3693340</v>
      </c>
      <c r="W13" s="30" t="str">
        <f>"－"</f>
        <v>－</v>
      </c>
      <c r="X13" s="34">
        <f>10</f>
        <v>10</v>
      </c>
    </row>
    <row r="14" spans="1:24" x14ac:dyDescent="0.15">
      <c r="A14" s="25" t="s">
        <v>971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344.1</f>
        <v>344.1</v>
      </c>
      <c r="L14" s="32" t="s">
        <v>80</v>
      </c>
      <c r="M14" s="31">
        <f>355.7</f>
        <v>355.7</v>
      </c>
      <c r="N14" s="32" t="s">
        <v>934</v>
      </c>
      <c r="O14" s="31">
        <f>332</f>
        <v>332</v>
      </c>
      <c r="P14" s="32" t="s">
        <v>813</v>
      </c>
      <c r="Q14" s="31">
        <f>355.7</f>
        <v>355.7</v>
      </c>
      <c r="R14" s="32" t="s">
        <v>818</v>
      </c>
      <c r="S14" s="33">
        <f>343.46</f>
        <v>343.46</v>
      </c>
      <c r="T14" s="30">
        <f>63000</f>
        <v>63000</v>
      </c>
      <c r="U14" s="30" t="str">
        <f>"－"</f>
        <v>－</v>
      </c>
      <c r="V14" s="30">
        <f>21542800</f>
        <v>21542800</v>
      </c>
      <c r="W14" s="30" t="str">
        <f>"－"</f>
        <v>－</v>
      </c>
      <c r="X14" s="34">
        <f>12</f>
        <v>12</v>
      </c>
    </row>
    <row r="15" spans="1:24" x14ac:dyDescent="0.15">
      <c r="A15" s="25" t="s">
        <v>971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27790</f>
        <v>27790</v>
      </c>
      <c r="L15" s="32" t="s">
        <v>909</v>
      </c>
      <c r="M15" s="31">
        <f>28565</f>
        <v>28565</v>
      </c>
      <c r="N15" s="32" t="s">
        <v>818</v>
      </c>
      <c r="O15" s="31">
        <f>26710</f>
        <v>26710</v>
      </c>
      <c r="P15" s="32" t="s">
        <v>813</v>
      </c>
      <c r="Q15" s="31">
        <f>28380</f>
        <v>28380</v>
      </c>
      <c r="R15" s="32" t="s">
        <v>818</v>
      </c>
      <c r="S15" s="33">
        <f>27717.89</f>
        <v>27717.89</v>
      </c>
      <c r="T15" s="30">
        <f>2239200</f>
        <v>2239200</v>
      </c>
      <c r="U15" s="30">
        <f>1180664</f>
        <v>1180664</v>
      </c>
      <c r="V15" s="30">
        <f>61978381191</f>
        <v>61978381191</v>
      </c>
      <c r="W15" s="30">
        <f>32734709321</f>
        <v>32734709321</v>
      </c>
      <c r="X15" s="34">
        <f>19</f>
        <v>19</v>
      </c>
    </row>
    <row r="16" spans="1:24" x14ac:dyDescent="0.15">
      <c r="A16" s="25" t="s">
        <v>971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27835</f>
        <v>27835</v>
      </c>
      <c r="L16" s="32" t="s">
        <v>909</v>
      </c>
      <c r="M16" s="31">
        <f>28630</f>
        <v>28630</v>
      </c>
      <c r="N16" s="32" t="s">
        <v>818</v>
      </c>
      <c r="O16" s="31">
        <f>26775</f>
        <v>26775</v>
      </c>
      <c r="P16" s="32" t="s">
        <v>813</v>
      </c>
      <c r="Q16" s="31">
        <f>28420</f>
        <v>28420</v>
      </c>
      <c r="R16" s="32" t="s">
        <v>818</v>
      </c>
      <c r="S16" s="33">
        <f>27775.53</f>
        <v>27775.53</v>
      </c>
      <c r="T16" s="30">
        <f>4801585</f>
        <v>4801585</v>
      </c>
      <c r="U16" s="30">
        <f>270435</f>
        <v>270435</v>
      </c>
      <c r="V16" s="30">
        <f>133191205850</f>
        <v>133191205850</v>
      </c>
      <c r="W16" s="30">
        <f>7464698345</f>
        <v>7464698345</v>
      </c>
      <c r="X16" s="34">
        <f>19</f>
        <v>19</v>
      </c>
    </row>
    <row r="17" spans="1:24" x14ac:dyDescent="0.15">
      <c r="A17" s="25" t="s">
        <v>971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7451</f>
        <v>7451</v>
      </c>
      <c r="L17" s="32" t="s">
        <v>909</v>
      </c>
      <c r="M17" s="31">
        <f>7830</f>
        <v>7830</v>
      </c>
      <c r="N17" s="32" t="s">
        <v>934</v>
      </c>
      <c r="O17" s="31">
        <f>7351</f>
        <v>7351</v>
      </c>
      <c r="P17" s="32" t="s">
        <v>909</v>
      </c>
      <c r="Q17" s="31">
        <f>7720</f>
        <v>7720</v>
      </c>
      <c r="R17" s="32" t="s">
        <v>818</v>
      </c>
      <c r="S17" s="33">
        <f>7573</f>
        <v>7573</v>
      </c>
      <c r="T17" s="30">
        <f>5260</f>
        <v>5260</v>
      </c>
      <c r="U17" s="30">
        <f>80</f>
        <v>80</v>
      </c>
      <c r="V17" s="30">
        <f>39871250</f>
        <v>39871250</v>
      </c>
      <c r="W17" s="30">
        <f>606260</f>
        <v>606260</v>
      </c>
      <c r="X17" s="34">
        <f>19</f>
        <v>19</v>
      </c>
    </row>
    <row r="18" spans="1:24" x14ac:dyDescent="0.15">
      <c r="A18" s="25" t="s">
        <v>971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 t="s">
        <v>333</v>
      </c>
      <c r="I18" s="29" t="s">
        <v>46</v>
      </c>
      <c r="J18" s="30">
        <v>100</v>
      </c>
      <c r="K18" s="31">
        <f>563.5</f>
        <v>563.5</v>
      </c>
      <c r="L18" s="32" t="s">
        <v>909</v>
      </c>
      <c r="M18" s="31">
        <f>575</f>
        <v>575</v>
      </c>
      <c r="N18" s="32" t="s">
        <v>80</v>
      </c>
      <c r="O18" s="31">
        <f>495.1</f>
        <v>495.1</v>
      </c>
      <c r="P18" s="32" t="s">
        <v>821</v>
      </c>
      <c r="Q18" s="31">
        <f>555.1</f>
        <v>555.1</v>
      </c>
      <c r="R18" s="32" t="s">
        <v>818</v>
      </c>
      <c r="S18" s="33">
        <f>538.3</f>
        <v>538.29999999999995</v>
      </c>
      <c r="T18" s="30">
        <f>148500</f>
        <v>148500</v>
      </c>
      <c r="U18" s="30" t="str">
        <f>"－"</f>
        <v>－</v>
      </c>
      <c r="V18" s="30">
        <f>79061800</f>
        <v>79061800</v>
      </c>
      <c r="W18" s="30" t="str">
        <f>"－"</f>
        <v>－</v>
      </c>
      <c r="X18" s="34">
        <f>19</f>
        <v>19</v>
      </c>
    </row>
    <row r="19" spans="1:24" x14ac:dyDescent="0.15">
      <c r="A19" s="25" t="s">
        <v>971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 t="str">
        <f>"－"</f>
        <v>－</v>
      </c>
      <c r="L19" s="32"/>
      <c r="M19" s="31" t="str">
        <f>"－"</f>
        <v>－</v>
      </c>
      <c r="N19" s="32"/>
      <c r="O19" s="31" t="str">
        <f>"－"</f>
        <v>－</v>
      </c>
      <c r="P19" s="32"/>
      <c r="Q19" s="31" t="str">
        <f>"－"</f>
        <v>－</v>
      </c>
      <c r="R19" s="32"/>
      <c r="S19" s="33" t="str">
        <f>"－"</f>
        <v>－</v>
      </c>
      <c r="T19" s="30" t="str">
        <f>"－"</f>
        <v>－</v>
      </c>
      <c r="U19" s="30" t="str">
        <f>"－"</f>
        <v>－</v>
      </c>
      <c r="V19" s="30" t="str">
        <f>"－"</f>
        <v>－</v>
      </c>
      <c r="W19" s="30" t="str">
        <f>"－"</f>
        <v>－</v>
      </c>
      <c r="X19" s="34" t="str">
        <f>"－"</f>
        <v>－</v>
      </c>
    </row>
    <row r="20" spans="1:24" x14ac:dyDescent="0.15">
      <c r="A20" s="25" t="s">
        <v>971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201.4</f>
        <v>201.4</v>
      </c>
      <c r="L20" s="32" t="s">
        <v>909</v>
      </c>
      <c r="M20" s="31">
        <f>230.7</f>
        <v>230.7</v>
      </c>
      <c r="N20" s="32" t="s">
        <v>909</v>
      </c>
      <c r="O20" s="31">
        <f>195.3</f>
        <v>195.3</v>
      </c>
      <c r="P20" s="32" t="s">
        <v>821</v>
      </c>
      <c r="Q20" s="31">
        <f>221</f>
        <v>221</v>
      </c>
      <c r="R20" s="32" t="s">
        <v>818</v>
      </c>
      <c r="S20" s="33">
        <f>209.87</f>
        <v>209.87</v>
      </c>
      <c r="T20" s="30">
        <f>776600</f>
        <v>776600</v>
      </c>
      <c r="U20" s="30">
        <f>100</f>
        <v>100</v>
      </c>
      <c r="V20" s="30">
        <f>165177630</f>
        <v>165177630</v>
      </c>
      <c r="W20" s="30">
        <f>21430</f>
        <v>21430</v>
      </c>
      <c r="X20" s="34">
        <f>19</f>
        <v>19</v>
      </c>
    </row>
    <row r="21" spans="1:24" x14ac:dyDescent="0.15">
      <c r="A21" s="25" t="s">
        <v>971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23020</f>
        <v>23020</v>
      </c>
      <c r="L21" s="32" t="s">
        <v>909</v>
      </c>
      <c r="M21" s="31">
        <f>23020</f>
        <v>23020</v>
      </c>
      <c r="N21" s="32" t="s">
        <v>909</v>
      </c>
      <c r="O21" s="31">
        <f>21665</f>
        <v>21665</v>
      </c>
      <c r="P21" s="32" t="s">
        <v>816</v>
      </c>
      <c r="Q21" s="31">
        <f>22095</f>
        <v>22095</v>
      </c>
      <c r="R21" s="32" t="s">
        <v>818</v>
      </c>
      <c r="S21" s="33">
        <f>22187.89</f>
        <v>22187.89</v>
      </c>
      <c r="T21" s="30">
        <f>185738</f>
        <v>185738</v>
      </c>
      <c r="U21" s="30">
        <f>8890</f>
        <v>8890</v>
      </c>
      <c r="V21" s="30">
        <f>4150231584</f>
        <v>4150231584</v>
      </c>
      <c r="W21" s="30">
        <f>201003789</f>
        <v>201003789</v>
      </c>
      <c r="X21" s="34">
        <f>19</f>
        <v>19</v>
      </c>
    </row>
    <row r="22" spans="1:24" x14ac:dyDescent="0.15">
      <c r="A22" s="25" t="s">
        <v>971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6209</f>
        <v>6209</v>
      </c>
      <c r="L22" s="32" t="s">
        <v>909</v>
      </c>
      <c r="M22" s="31">
        <f>6209</f>
        <v>6209</v>
      </c>
      <c r="N22" s="32" t="s">
        <v>909</v>
      </c>
      <c r="O22" s="31">
        <f>5829</f>
        <v>5829</v>
      </c>
      <c r="P22" s="32" t="s">
        <v>816</v>
      </c>
      <c r="Q22" s="31">
        <f>5940</f>
        <v>5940</v>
      </c>
      <c r="R22" s="32" t="s">
        <v>818</v>
      </c>
      <c r="S22" s="33">
        <f>5975.21</f>
        <v>5975.21</v>
      </c>
      <c r="T22" s="30">
        <f>281690</f>
        <v>281690</v>
      </c>
      <c r="U22" s="30">
        <f>4610</f>
        <v>4610</v>
      </c>
      <c r="V22" s="30">
        <f>1695031820</f>
        <v>1695031820</v>
      </c>
      <c r="W22" s="30">
        <f>28333490</f>
        <v>28333490</v>
      </c>
      <c r="X22" s="34">
        <f>19</f>
        <v>19</v>
      </c>
    </row>
    <row r="23" spans="1:24" x14ac:dyDescent="0.15">
      <c r="A23" s="25" t="s">
        <v>971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27760</f>
        <v>27760</v>
      </c>
      <c r="L23" s="32" t="s">
        <v>909</v>
      </c>
      <c r="M23" s="31">
        <f>28550</f>
        <v>28550</v>
      </c>
      <c r="N23" s="32" t="s">
        <v>818</v>
      </c>
      <c r="O23" s="31">
        <f>26690</f>
        <v>26690</v>
      </c>
      <c r="P23" s="32" t="s">
        <v>813</v>
      </c>
      <c r="Q23" s="31">
        <f>28335</f>
        <v>28335</v>
      </c>
      <c r="R23" s="32" t="s">
        <v>818</v>
      </c>
      <c r="S23" s="33">
        <f>27694.74</f>
        <v>27694.74</v>
      </c>
      <c r="T23" s="30">
        <f>979137</f>
        <v>979137</v>
      </c>
      <c r="U23" s="30">
        <f>617453</f>
        <v>617453</v>
      </c>
      <c r="V23" s="30">
        <f>27162723868</f>
        <v>27162723868</v>
      </c>
      <c r="W23" s="30">
        <f>17180137858</f>
        <v>17180137858</v>
      </c>
      <c r="X23" s="34">
        <f>19</f>
        <v>19</v>
      </c>
    </row>
    <row r="24" spans="1:24" x14ac:dyDescent="0.15">
      <c r="A24" s="25" t="s">
        <v>971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27875</f>
        <v>27875</v>
      </c>
      <c r="L24" s="32" t="s">
        <v>909</v>
      </c>
      <c r="M24" s="31">
        <f>28660</f>
        <v>28660</v>
      </c>
      <c r="N24" s="32" t="s">
        <v>818</v>
      </c>
      <c r="O24" s="31">
        <f>26800</f>
        <v>26800</v>
      </c>
      <c r="P24" s="32" t="s">
        <v>813</v>
      </c>
      <c r="Q24" s="31">
        <f>28450</f>
        <v>28450</v>
      </c>
      <c r="R24" s="32" t="s">
        <v>818</v>
      </c>
      <c r="S24" s="33">
        <f>27812.11</f>
        <v>27812.11</v>
      </c>
      <c r="T24" s="30">
        <f>703910</f>
        <v>703910</v>
      </c>
      <c r="U24" s="30">
        <f>93340</f>
        <v>93340</v>
      </c>
      <c r="V24" s="30">
        <f>19542793614</f>
        <v>19542793614</v>
      </c>
      <c r="W24" s="30">
        <f>2606869364</f>
        <v>2606869364</v>
      </c>
      <c r="X24" s="34">
        <f>19</f>
        <v>19</v>
      </c>
    </row>
    <row r="25" spans="1:24" x14ac:dyDescent="0.15">
      <c r="A25" s="25" t="s">
        <v>971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2139.5</f>
        <v>2139.5</v>
      </c>
      <c r="L25" s="32" t="s">
        <v>909</v>
      </c>
      <c r="M25" s="31">
        <f>2160</f>
        <v>2160</v>
      </c>
      <c r="N25" s="32" t="s">
        <v>909</v>
      </c>
      <c r="O25" s="31">
        <f>2062</f>
        <v>2062</v>
      </c>
      <c r="P25" s="32" t="s">
        <v>821</v>
      </c>
      <c r="Q25" s="31">
        <f>2146</f>
        <v>2146</v>
      </c>
      <c r="R25" s="32" t="s">
        <v>818</v>
      </c>
      <c r="S25" s="33">
        <f>2120.76</f>
        <v>2120.7600000000002</v>
      </c>
      <c r="T25" s="30">
        <f>6381940</f>
        <v>6381940</v>
      </c>
      <c r="U25" s="30">
        <f>1654350</f>
        <v>1654350</v>
      </c>
      <c r="V25" s="30">
        <f>13538873705</f>
        <v>13538873705</v>
      </c>
      <c r="W25" s="30">
        <f>3502419510</f>
        <v>3502419510</v>
      </c>
      <c r="X25" s="34">
        <f>19</f>
        <v>19</v>
      </c>
    </row>
    <row r="26" spans="1:24" x14ac:dyDescent="0.15">
      <c r="A26" s="25" t="s">
        <v>971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2002.5</f>
        <v>2002.5</v>
      </c>
      <c r="L26" s="32" t="s">
        <v>909</v>
      </c>
      <c r="M26" s="31">
        <f>2028</f>
        <v>2028</v>
      </c>
      <c r="N26" s="32" t="s">
        <v>818</v>
      </c>
      <c r="O26" s="31">
        <f>1900</f>
        <v>1900</v>
      </c>
      <c r="P26" s="32" t="s">
        <v>909</v>
      </c>
      <c r="Q26" s="31">
        <f>2027</f>
        <v>2027</v>
      </c>
      <c r="R26" s="32" t="s">
        <v>818</v>
      </c>
      <c r="S26" s="33">
        <f>1999.16</f>
        <v>1999.16</v>
      </c>
      <c r="T26" s="30">
        <f>853500</f>
        <v>853500</v>
      </c>
      <c r="U26" s="30">
        <f>74900</f>
        <v>74900</v>
      </c>
      <c r="V26" s="30">
        <f>1696204169</f>
        <v>1696204169</v>
      </c>
      <c r="W26" s="30">
        <f>150012269</f>
        <v>150012269</v>
      </c>
      <c r="X26" s="34">
        <f>19</f>
        <v>19</v>
      </c>
    </row>
    <row r="27" spans="1:24" x14ac:dyDescent="0.15">
      <c r="A27" s="25" t="s">
        <v>971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27775</f>
        <v>27775</v>
      </c>
      <c r="L27" s="32" t="s">
        <v>909</v>
      </c>
      <c r="M27" s="31">
        <f>28540</f>
        <v>28540</v>
      </c>
      <c r="N27" s="32" t="s">
        <v>818</v>
      </c>
      <c r="O27" s="31">
        <f>26695</f>
        <v>26695</v>
      </c>
      <c r="P27" s="32" t="s">
        <v>813</v>
      </c>
      <c r="Q27" s="31">
        <f>28335</f>
        <v>28335</v>
      </c>
      <c r="R27" s="32" t="s">
        <v>818</v>
      </c>
      <c r="S27" s="33">
        <f>27705.79</f>
        <v>27705.79</v>
      </c>
      <c r="T27" s="30">
        <f>311144</f>
        <v>311144</v>
      </c>
      <c r="U27" s="30">
        <f>73108</f>
        <v>73108</v>
      </c>
      <c r="V27" s="30">
        <f>8612399815</f>
        <v>8612399815</v>
      </c>
      <c r="W27" s="30">
        <f>2046492105</f>
        <v>2046492105</v>
      </c>
      <c r="X27" s="34">
        <f>19</f>
        <v>19</v>
      </c>
    </row>
    <row r="28" spans="1:24" x14ac:dyDescent="0.15">
      <c r="A28" s="25" t="s">
        <v>971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1981</f>
        <v>1981</v>
      </c>
      <c r="L28" s="32" t="s">
        <v>909</v>
      </c>
      <c r="M28" s="31">
        <f>2012.5</f>
        <v>2012.5</v>
      </c>
      <c r="N28" s="32" t="s">
        <v>934</v>
      </c>
      <c r="O28" s="31">
        <f>1907</f>
        <v>1907</v>
      </c>
      <c r="P28" s="32" t="s">
        <v>813</v>
      </c>
      <c r="Q28" s="31">
        <f>1996</f>
        <v>1996</v>
      </c>
      <c r="R28" s="32" t="s">
        <v>818</v>
      </c>
      <c r="S28" s="33">
        <f>1962.68</f>
        <v>1962.68</v>
      </c>
      <c r="T28" s="30">
        <f>2425880</f>
        <v>2425880</v>
      </c>
      <c r="U28" s="30">
        <f>480370</f>
        <v>480370</v>
      </c>
      <c r="V28" s="30">
        <f>4741974856</f>
        <v>4741974856</v>
      </c>
      <c r="W28" s="30">
        <f>945922916</f>
        <v>945922916</v>
      </c>
      <c r="X28" s="34">
        <f>19</f>
        <v>19</v>
      </c>
    </row>
    <row r="29" spans="1:24" x14ac:dyDescent="0.15">
      <c r="A29" s="25" t="s">
        <v>971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14485</f>
        <v>14485</v>
      </c>
      <c r="L29" s="32" t="s">
        <v>909</v>
      </c>
      <c r="M29" s="31">
        <f>14510</f>
        <v>14510</v>
      </c>
      <c r="N29" s="32" t="s">
        <v>909</v>
      </c>
      <c r="O29" s="31">
        <f>13795</f>
        <v>13795</v>
      </c>
      <c r="P29" s="32" t="s">
        <v>935</v>
      </c>
      <c r="Q29" s="31">
        <f>14170</f>
        <v>14170</v>
      </c>
      <c r="R29" s="32" t="s">
        <v>818</v>
      </c>
      <c r="S29" s="33">
        <f>14123.42</f>
        <v>14123.42</v>
      </c>
      <c r="T29" s="30">
        <f>730</f>
        <v>730</v>
      </c>
      <c r="U29" s="30" t="str">
        <f>"－"</f>
        <v>－</v>
      </c>
      <c r="V29" s="30">
        <f>10328025</f>
        <v>10328025</v>
      </c>
      <c r="W29" s="30" t="str">
        <f>"－"</f>
        <v>－</v>
      </c>
      <c r="X29" s="34">
        <f>19</f>
        <v>19</v>
      </c>
    </row>
    <row r="30" spans="1:24" x14ac:dyDescent="0.15">
      <c r="A30" s="25" t="s">
        <v>971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1041.5</f>
        <v>1041.5</v>
      </c>
      <c r="L30" s="32" t="s">
        <v>909</v>
      </c>
      <c r="M30" s="31">
        <f>1123</f>
        <v>1123</v>
      </c>
      <c r="N30" s="32" t="s">
        <v>813</v>
      </c>
      <c r="O30" s="31">
        <f>1004</f>
        <v>1004</v>
      </c>
      <c r="P30" s="32" t="s">
        <v>934</v>
      </c>
      <c r="Q30" s="31">
        <f>1020.5</f>
        <v>1020.5</v>
      </c>
      <c r="R30" s="32" t="s">
        <v>818</v>
      </c>
      <c r="S30" s="33">
        <f>1059.82</f>
        <v>1059.82</v>
      </c>
      <c r="T30" s="30">
        <f>6485040</f>
        <v>6485040</v>
      </c>
      <c r="U30" s="30" t="str">
        <f>"－"</f>
        <v>－</v>
      </c>
      <c r="V30" s="30">
        <f>6896518115</f>
        <v>6896518115</v>
      </c>
      <c r="W30" s="30" t="str">
        <f>"－"</f>
        <v>－</v>
      </c>
      <c r="X30" s="34">
        <f>19</f>
        <v>19</v>
      </c>
    </row>
    <row r="31" spans="1:24" x14ac:dyDescent="0.15">
      <c r="A31" s="25" t="s">
        <v>971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413</f>
        <v>413</v>
      </c>
      <c r="L31" s="32" t="s">
        <v>909</v>
      </c>
      <c r="M31" s="31">
        <f>446</f>
        <v>446</v>
      </c>
      <c r="N31" s="32" t="s">
        <v>813</v>
      </c>
      <c r="O31" s="31">
        <f>386</f>
        <v>386</v>
      </c>
      <c r="P31" s="32" t="s">
        <v>818</v>
      </c>
      <c r="Q31" s="31">
        <f>393</f>
        <v>393</v>
      </c>
      <c r="R31" s="32" t="s">
        <v>818</v>
      </c>
      <c r="S31" s="33">
        <f>412.84</f>
        <v>412.84</v>
      </c>
      <c r="T31" s="30">
        <f>954085111</f>
        <v>954085111</v>
      </c>
      <c r="U31" s="30">
        <f>5702575</f>
        <v>5702575</v>
      </c>
      <c r="V31" s="30">
        <f>395664392248</f>
        <v>395664392248</v>
      </c>
      <c r="W31" s="30">
        <f>2245128919</f>
        <v>2245128919</v>
      </c>
      <c r="X31" s="34">
        <f>19</f>
        <v>19</v>
      </c>
    </row>
    <row r="32" spans="1:24" x14ac:dyDescent="0.15">
      <c r="A32" s="25" t="s">
        <v>971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25030</f>
        <v>25030</v>
      </c>
      <c r="L32" s="32" t="s">
        <v>909</v>
      </c>
      <c r="M32" s="31">
        <f>26395</f>
        <v>26395</v>
      </c>
      <c r="N32" s="32" t="s">
        <v>818</v>
      </c>
      <c r="O32" s="31">
        <f>23130</f>
        <v>23130</v>
      </c>
      <c r="P32" s="32" t="s">
        <v>813</v>
      </c>
      <c r="Q32" s="31">
        <f>26000</f>
        <v>26000</v>
      </c>
      <c r="R32" s="32" t="s">
        <v>818</v>
      </c>
      <c r="S32" s="33">
        <f>24889.21</f>
        <v>24889.21</v>
      </c>
      <c r="T32" s="30">
        <f>387115</f>
        <v>387115</v>
      </c>
      <c r="U32" s="30" t="str">
        <f>"－"</f>
        <v>－</v>
      </c>
      <c r="V32" s="30">
        <f>9584370850</f>
        <v>9584370850</v>
      </c>
      <c r="W32" s="30" t="str">
        <f>"－"</f>
        <v>－</v>
      </c>
      <c r="X32" s="34">
        <f>19</f>
        <v>19</v>
      </c>
    </row>
    <row r="33" spans="1:24" x14ac:dyDescent="0.15">
      <c r="A33" s="25" t="s">
        <v>971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1008.5</f>
        <v>1008.5</v>
      </c>
      <c r="L33" s="32" t="s">
        <v>909</v>
      </c>
      <c r="M33" s="31">
        <f>1087.5</f>
        <v>1087.5</v>
      </c>
      <c r="N33" s="32" t="s">
        <v>813</v>
      </c>
      <c r="O33" s="31">
        <f>944</f>
        <v>944</v>
      </c>
      <c r="P33" s="32" t="s">
        <v>818</v>
      </c>
      <c r="Q33" s="31">
        <f>957.3</f>
        <v>957.3</v>
      </c>
      <c r="R33" s="32" t="s">
        <v>818</v>
      </c>
      <c r="S33" s="33">
        <f>1008.37</f>
        <v>1008.37</v>
      </c>
      <c r="T33" s="30">
        <f>198259510</f>
        <v>198259510</v>
      </c>
      <c r="U33" s="30">
        <f>550710</f>
        <v>550710</v>
      </c>
      <c r="V33" s="30">
        <f>200610910564</f>
        <v>200610910564</v>
      </c>
      <c r="W33" s="30">
        <f>537746972</f>
        <v>537746972</v>
      </c>
      <c r="X33" s="34">
        <f>19</f>
        <v>19</v>
      </c>
    </row>
    <row r="34" spans="1:24" x14ac:dyDescent="0.15">
      <c r="A34" s="25" t="s">
        <v>971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17425</f>
        <v>17425</v>
      </c>
      <c r="L34" s="32" t="s">
        <v>909</v>
      </c>
      <c r="M34" s="31">
        <f>17850</f>
        <v>17850</v>
      </c>
      <c r="N34" s="32" t="s">
        <v>818</v>
      </c>
      <c r="O34" s="31">
        <f>16950</f>
        <v>16950</v>
      </c>
      <c r="P34" s="32" t="s">
        <v>813</v>
      </c>
      <c r="Q34" s="31">
        <f>17695</f>
        <v>17695</v>
      </c>
      <c r="R34" s="32" t="s">
        <v>818</v>
      </c>
      <c r="S34" s="33">
        <f>17414.21</f>
        <v>17414.21</v>
      </c>
      <c r="T34" s="30">
        <f>1439</f>
        <v>1439</v>
      </c>
      <c r="U34" s="30" t="str">
        <f>"－"</f>
        <v>－</v>
      </c>
      <c r="V34" s="30">
        <f>25136215</f>
        <v>25136215</v>
      </c>
      <c r="W34" s="30" t="str">
        <f>"－"</f>
        <v>－</v>
      </c>
      <c r="X34" s="34">
        <f>19</f>
        <v>19</v>
      </c>
    </row>
    <row r="35" spans="1:24" x14ac:dyDescent="0.15">
      <c r="A35" s="25" t="s">
        <v>971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20805</f>
        <v>20805</v>
      </c>
      <c r="L35" s="32" t="s">
        <v>909</v>
      </c>
      <c r="M35" s="31">
        <f>21900</f>
        <v>21900</v>
      </c>
      <c r="N35" s="32" t="s">
        <v>818</v>
      </c>
      <c r="O35" s="31">
        <f>19185</f>
        <v>19185</v>
      </c>
      <c r="P35" s="32" t="s">
        <v>813</v>
      </c>
      <c r="Q35" s="31">
        <f>21585</f>
        <v>21585</v>
      </c>
      <c r="R35" s="32" t="s">
        <v>818</v>
      </c>
      <c r="S35" s="33">
        <f>20654.21</f>
        <v>20654.21</v>
      </c>
      <c r="T35" s="30">
        <f>1066086</f>
        <v>1066086</v>
      </c>
      <c r="U35" s="30" t="str">
        <f>"－"</f>
        <v>－</v>
      </c>
      <c r="V35" s="30">
        <f>21840461775</f>
        <v>21840461775</v>
      </c>
      <c r="W35" s="30" t="str">
        <f>"－"</f>
        <v>－</v>
      </c>
      <c r="X35" s="34">
        <f>19</f>
        <v>19</v>
      </c>
    </row>
    <row r="36" spans="1:24" x14ac:dyDescent="0.15">
      <c r="A36" s="25" t="s">
        <v>971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1077</f>
        <v>1077</v>
      </c>
      <c r="L36" s="32" t="s">
        <v>909</v>
      </c>
      <c r="M36" s="31">
        <f>1162</f>
        <v>1162</v>
      </c>
      <c r="N36" s="32" t="s">
        <v>813</v>
      </c>
      <c r="O36" s="31">
        <f>1009</f>
        <v>1009</v>
      </c>
      <c r="P36" s="32" t="s">
        <v>818</v>
      </c>
      <c r="Q36" s="31">
        <f>1024</f>
        <v>1024</v>
      </c>
      <c r="R36" s="32" t="s">
        <v>818</v>
      </c>
      <c r="S36" s="33">
        <f>1077.05</f>
        <v>1077.05</v>
      </c>
      <c r="T36" s="30">
        <f>19453145</f>
        <v>19453145</v>
      </c>
      <c r="U36" s="30">
        <f>3</f>
        <v>3</v>
      </c>
      <c r="V36" s="30">
        <f>21043650359</f>
        <v>21043650359</v>
      </c>
      <c r="W36" s="30">
        <f>3459</f>
        <v>3459</v>
      </c>
      <c r="X36" s="34">
        <f>19</f>
        <v>19</v>
      </c>
    </row>
    <row r="37" spans="1:24" x14ac:dyDescent="0.15">
      <c r="A37" s="25" t="s">
        <v>971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17880</f>
        <v>17880</v>
      </c>
      <c r="L37" s="32" t="s">
        <v>909</v>
      </c>
      <c r="M37" s="31">
        <f>18360</f>
        <v>18360</v>
      </c>
      <c r="N37" s="32" t="s">
        <v>934</v>
      </c>
      <c r="O37" s="31">
        <f>16515</f>
        <v>16515</v>
      </c>
      <c r="P37" s="32" t="s">
        <v>813</v>
      </c>
      <c r="Q37" s="31">
        <f>18065</f>
        <v>18065</v>
      </c>
      <c r="R37" s="32" t="s">
        <v>818</v>
      </c>
      <c r="S37" s="33">
        <f>17487.63</f>
        <v>17487.63</v>
      </c>
      <c r="T37" s="30">
        <f>144803</f>
        <v>144803</v>
      </c>
      <c r="U37" s="30" t="str">
        <f>"－"</f>
        <v>－</v>
      </c>
      <c r="V37" s="30">
        <f>2532134140</f>
        <v>2532134140</v>
      </c>
      <c r="W37" s="30" t="str">
        <f>"－"</f>
        <v>－</v>
      </c>
      <c r="X37" s="34">
        <f>19</f>
        <v>19</v>
      </c>
    </row>
    <row r="38" spans="1:24" x14ac:dyDescent="0.15">
      <c r="A38" s="25" t="s">
        <v>971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1509</f>
        <v>1509</v>
      </c>
      <c r="L38" s="32" t="s">
        <v>909</v>
      </c>
      <c r="M38" s="31">
        <f>1628</f>
        <v>1628</v>
      </c>
      <c r="N38" s="32" t="s">
        <v>813</v>
      </c>
      <c r="O38" s="31">
        <f>1453</f>
        <v>1453</v>
      </c>
      <c r="P38" s="32" t="s">
        <v>934</v>
      </c>
      <c r="Q38" s="31">
        <f>1478</f>
        <v>1478</v>
      </c>
      <c r="R38" s="32" t="s">
        <v>818</v>
      </c>
      <c r="S38" s="33">
        <f>1534.37</f>
        <v>1534.37</v>
      </c>
      <c r="T38" s="30">
        <f>1083193</f>
        <v>1083193</v>
      </c>
      <c r="U38" s="30" t="str">
        <f>"－"</f>
        <v>－</v>
      </c>
      <c r="V38" s="30">
        <f>1668494028</f>
        <v>1668494028</v>
      </c>
      <c r="W38" s="30" t="str">
        <f>"－"</f>
        <v>－</v>
      </c>
      <c r="X38" s="34">
        <f>19</f>
        <v>19</v>
      </c>
    </row>
    <row r="39" spans="1:24" x14ac:dyDescent="0.15">
      <c r="A39" s="25" t="s">
        <v>971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26950</f>
        <v>26950</v>
      </c>
      <c r="L39" s="32" t="s">
        <v>909</v>
      </c>
      <c r="M39" s="31">
        <f>27700</f>
        <v>27700</v>
      </c>
      <c r="N39" s="32" t="s">
        <v>818</v>
      </c>
      <c r="O39" s="31">
        <f>25910</f>
        <v>25910</v>
      </c>
      <c r="P39" s="32" t="s">
        <v>813</v>
      </c>
      <c r="Q39" s="31">
        <f>27525</f>
        <v>27525</v>
      </c>
      <c r="R39" s="32" t="s">
        <v>818</v>
      </c>
      <c r="S39" s="33">
        <f>26881.32</f>
        <v>26881.32</v>
      </c>
      <c r="T39" s="30">
        <f>235640</f>
        <v>235640</v>
      </c>
      <c r="U39" s="30">
        <f>51154</f>
        <v>51154</v>
      </c>
      <c r="V39" s="30">
        <f>6355998530</f>
        <v>6355998530</v>
      </c>
      <c r="W39" s="30">
        <f>1378170350</f>
        <v>1378170350</v>
      </c>
      <c r="X39" s="34">
        <f>19</f>
        <v>19</v>
      </c>
    </row>
    <row r="40" spans="1:24" x14ac:dyDescent="0.15">
      <c r="A40" s="25" t="s">
        <v>971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5260</f>
        <v>5260</v>
      </c>
      <c r="L40" s="32" t="s">
        <v>909</v>
      </c>
      <c r="M40" s="31">
        <f>5480</f>
        <v>5480</v>
      </c>
      <c r="N40" s="32" t="s">
        <v>818</v>
      </c>
      <c r="O40" s="31">
        <f>4900</f>
        <v>4900</v>
      </c>
      <c r="P40" s="32" t="s">
        <v>905</v>
      </c>
      <c r="Q40" s="31">
        <f>5410</f>
        <v>5410</v>
      </c>
      <c r="R40" s="32" t="s">
        <v>818</v>
      </c>
      <c r="S40" s="33">
        <f>5198.95</f>
        <v>5198.95</v>
      </c>
      <c r="T40" s="30">
        <f>4202</f>
        <v>4202</v>
      </c>
      <c r="U40" s="30" t="str">
        <f t="shared" ref="U40:U48" si="0">"－"</f>
        <v>－</v>
      </c>
      <c r="V40" s="30">
        <f>21958785</f>
        <v>21958785</v>
      </c>
      <c r="W40" s="30" t="str">
        <f t="shared" ref="W40:W48" si="1">"－"</f>
        <v>－</v>
      </c>
      <c r="X40" s="34">
        <f>19</f>
        <v>19</v>
      </c>
    </row>
    <row r="41" spans="1:24" x14ac:dyDescent="0.15">
      <c r="A41" s="25" t="s">
        <v>971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10145</f>
        <v>10145</v>
      </c>
      <c r="L41" s="32" t="s">
        <v>909</v>
      </c>
      <c r="M41" s="31">
        <f>10200</f>
        <v>10200</v>
      </c>
      <c r="N41" s="32" t="s">
        <v>818</v>
      </c>
      <c r="O41" s="31">
        <f>9401</f>
        <v>9401</v>
      </c>
      <c r="P41" s="32" t="s">
        <v>56</v>
      </c>
      <c r="Q41" s="31">
        <f>10145</f>
        <v>10145</v>
      </c>
      <c r="R41" s="32" t="s">
        <v>818</v>
      </c>
      <c r="S41" s="33">
        <f>9818.42</f>
        <v>9818.42</v>
      </c>
      <c r="T41" s="30">
        <f>2273</f>
        <v>2273</v>
      </c>
      <c r="U41" s="30" t="str">
        <f t="shared" si="0"/>
        <v>－</v>
      </c>
      <c r="V41" s="30">
        <f>22421985</f>
        <v>22421985</v>
      </c>
      <c r="W41" s="30" t="str">
        <f t="shared" si="1"/>
        <v>－</v>
      </c>
      <c r="X41" s="34">
        <f>19</f>
        <v>19</v>
      </c>
    </row>
    <row r="42" spans="1:24" x14ac:dyDescent="0.15">
      <c r="A42" s="25" t="s">
        <v>971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18555</f>
        <v>18555</v>
      </c>
      <c r="L42" s="32" t="s">
        <v>909</v>
      </c>
      <c r="M42" s="31">
        <f>18630</f>
        <v>18630</v>
      </c>
      <c r="N42" s="32" t="s">
        <v>934</v>
      </c>
      <c r="O42" s="31">
        <f>17380</f>
        <v>17380</v>
      </c>
      <c r="P42" s="32" t="s">
        <v>813</v>
      </c>
      <c r="Q42" s="31">
        <f>18630</f>
        <v>18630</v>
      </c>
      <c r="R42" s="32" t="s">
        <v>934</v>
      </c>
      <c r="S42" s="33">
        <f>18175.71</f>
        <v>18175.71</v>
      </c>
      <c r="T42" s="30">
        <f>36</f>
        <v>36</v>
      </c>
      <c r="U42" s="30" t="str">
        <f t="shared" si="0"/>
        <v>－</v>
      </c>
      <c r="V42" s="30">
        <f>655400</f>
        <v>655400</v>
      </c>
      <c r="W42" s="30" t="str">
        <f t="shared" si="1"/>
        <v>－</v>
      </c>
      <c r="X42" s="34">
        <f>7</f>
        <v>7</v>
      </c>
    </row>
    <row r="43" spans="1:24" x14ac:dyDescent="0.15">
      <c r="A43" s="25" t="s">
        <v>971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15640</f>
        <v>15640</v>
      </c>
      <c r="L43" s="32" t="s">
        <v>56</v>
      </c>
      <c r="M43" s="31">
        <f>16760</f>
        <v>16760</v>
      </c>
      <c r="N43" s="32" t="s">
        <v>818</v>
      </c>
      <c r="O43" s="31">
        <f>15640</f>
        <v>15640</v>
      </c>
      <c r="P43" s="32" t="s">
        <v>56</v>
      </c>
      <c r="Q43" s="31">
        <f>16760</f>
        <v>16760</v>
      </c>
      <c r="R43" s="32" t="s">
        <v>818</v>
      </c>
      <c r="S43" s="33">
        <f>16200</f>
        <v>16200</v>
      </c>
      <c r="T43" s="30">
        <f>3</f>
        <v>3</v>
      </c>
      <c r="U43" s="30" t="str">
        <f t="shared" si="0"/>
        <v>－</v>
      </c>
      <c r="V43" s="30">
        <f>49160</f>
        <v>49160</v>
      </c>
      <c r="W43" s="30" t="str">
        <f t="shared" si="1"/>
        <v>－</v>
      </c>
      <c r="X43" s="34">
        <f>2</f>
        <v>2</v>
      </c>
    </row>
    <row r="44" spans="1:24" x14ac:dyDescent="0.15">
      <c r="A44" s="25" t="s">
        <v>971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11435</f>
        <v>11435</v>
      </c>
      <c r="L44" s="32" t="s">
        <v>909</v>
      </c>
      <c r="M44" s="31">
        <f>11690</f>
        <v>11690</v>
      </c>
      <c r="N44" s="32" t="s">
        <v>818</v>
      </c>
      <c r="O44" s="31">
        <f>10505</f>
        <v>10505</v>
      </c>
      <c r="P44" s="32" t="s">
        <v>905</v>
      </c>
      <c r="Q44" s="31">
        <f>11435</f>
        <v>11435</v>
      </c>
      <c r="R44" s="32" t="s">
        <v>818</v>
      </c>
      <c r="S44" s="33">
        <f>11099.47</f>
        <v>11099.47</v>
      </c>
      <c r="T44" s="30">
        <f>1673</f>
        <v>1673</v>
      </c>
      <c r="U44" s="30" t="str">
        <f t="shared" si="0"/>
        <v>－</v>
      </c>
      <c r="V44" s="30">
        <f>18437045</f>
        <v>18437045</v>
      </c>
      <c r="W44" s="30" t="str">
        <f t="shared" si="1"/>
        <v>－</v>
      </c>
      <c r="X44" s="34">
        <f>19</f>
        <v>19</v>
      </c>
    </row>
    <row r="45" spans="1:24" x14ac:dyDescent="0.15">
      <c r="A45" s="25" t="s">
        <v>971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5710</f>
        <v>5710</v>
      </c>
      <c r="L45" s="32" t="s">
        <v>909</v>
      </c>
      <c r="M45" s="31">
        <f>5870</f>
        <v>5870</v>
      </c>
      <c r="N45" s="32" t="s">
        <v>906</v>
      </c>
      <c r="O45" s="31">
        <f>5370</f>
        <v>5370</v>
      </c>
      <c r="P45" s="32" t="s">
        <v>56</v>
      </c>
      <c r="Q45" s="31">
        <f>5760</f>
        <v>5760</v>
      </c>
      <c r="R45" s="32" t="s">
        <v>818</v>
      </c>
      <c r="S45" s="33">
        <f>5606.32</f>
        <v>5606.32</v>
      </c>
      <c r="T45" s="30">
        <f>2400</f>
        <v>2400</v>
      </c>
      <c r="U45" s="30" t="str">
        <f t="shared" si="0"/>
        <v>－</v>
      </c>
      <c r="V45" s="30">
        <f>13463190</f>
        <v>13463190</v>
      </c>
      <c r="W45" s="30" t="str">
        <f t="shared" si="1"/>
        <v>－</v>
      </c>
      <c r="X45" s="34">
        <f>19</f>
        <v>19</v>
      </c>
    </row>
    <row r="46" spans="1:24" x14ac:dyDescent="0.15">
      <c r="A46" s="25" t="s">
        <v>971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3175</f>
        <v>3175</v>
      </c>
      <c r="L46" s="32" t="s">
        <v>909</v>
      </c>
      <c r="M46" s="31">
        <f>3200</f>
        <v>3200</v>
      </c>
      <c r="N46" s="32" t="s">
        <v>909</v>
      </c>
      <c r="O46" s="31">
        <f>2862</f>
        <v>2862</v>
      </c>
      <c r="P46" s="32" t="s">
        <v>935</v>
      </c>
      <c r="Q46" s="31">
        <f>3055</f>
        <v>3055</v>
      </c>
      <c r="R46" s="32" t="s">
        <v>818</v>
      </c>
      <c r="S46" s="33">
        <f>3016.63</f>
        <v>3016.63</v>
      </c>
      <c r="T46" s="30">
        <f>19556</f>
        <v>19556</v>
      </c>
      <c r="U46" s="30" t="str">
        <f t="shared" si="0"/>
        <v>－</v>
      </c>
      <c r="V46" s="30">
        <f>58708585</f>
        <v>58708585</v>
      </c>
      <c r="W46" s="30" t="str">
        <f t="shared" si="1"/>
        <v>－</v>
      </c>
      <c r="X46" s="34">
        <f>19</f>
        <v>19</v>
      </c>
    </row>
    <row r="47" spans="1:24" x14ac:dyDescent="0.15">
      <c r="A47" s="25" t="s">
        <v>971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3105</f>
        <v>3105</v>
      </c>
      <c r="L47" s="32" t="s">
        <v>909</v>
      </c>
      <c r="M47" s="31">
        <f>3140</f>
        <v>3140</v>
      </c>
      <c r="N47" s="32" t="s">
        <v>818</v>
      </c>
      <c r="O47" s="31">
        <f>2940</f>
        <v>2940</v>
      </c>
      <c r="P47" s="32" t="s">
        <v>56</v>
      </c>
      <c r="Q47" s="31">
        <f>3140</f>
        <v>3140</v>
      </c>
      <c r="R47" s="32" t="s">
        <v>818</v>
      </c>
      <c r="S47" s="33">
        <f>3046.95</f>
        <v>3046.95</v>
      </c>
      <c r="T47" s="30">
        <f>1256</f>
        <v>1256</v>
      </c>
      <c r="U47" s="30" t="str">
        <f t="shared" si="0"/>
        <v>－</v>
      </c>
      <c r="V47" s="30">
        <f>3817186</f>
        <v>3817186</v>
      </c>
      <c r="W47" s="30" t="str">
        <f t="shared" si="1"/>
        <v>－</v>
      </c>
      <c r="X47" s="34">
        <f>19</f>
        <v>19</v>
      </c>
    </row>
    <row r="48" spans="1:24" x14ac:dyDescent="0.15">
      <c r="A48" s="25" t="s">
        <v>971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53310</f>
        <v>53310</v>
      </c>
      <c r="L48" s="32" t="s">
        <v>909</v>
      </c>
      <c r="M48" s="31">
        <f>53410</f>
        <v>53410</v>
      </c>
      <c r="N48" s="32" t="s">
        <v>80</v>
      </c>
      <c r="O48" s="31">
        <f>48370</f>
        <v>48370</v>
      </c>
      <c r="P48" s="32" t="s">
        <v>816</v>
      </c>
      <c r="Q48" s="31">
        <f>51990</f>
        <v>51990</v>
      </c>
      <c r="R48" s="32" t="s">
        <v>818</v>
      </c>
      <c r="S48" s="33">
        <f>50738.95</f>
        <v>50738.95</v>
      </c>
      <c r="T48" s="30">
        <f>1319</f>
        <v>1319</v>
      </c>
      <c r="U48" s="30" t="str">
        <f t="shared" si="0"/>
        <v>－</v>
      </c>
      <c r="V48" s="30">
        <f>66801580</f>
        <v>66801580</v>
      </c>
      <c r="W48" s="30" t="str">
        <f t="shared" si="1"/>
        <v>－</v>
      </c>
      <c r="X48" s="34">
        <f>19</f>
        <v>19</v>
      </c>
    </row>
    <row r="49" spans="1:24" x14ac:dyDescent="0.15">
      <c r="A49" s="25" t="s">
        <v>971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37200</f>
        <v>37200</v>
      </c>
      <c r="L49" s="32" t="s">
        <v>80</v>
      </c>
      <c r="M49" s="31">
        <f>37200</f>
        <v>37200</v>
      </c>
      <c r="N49" s="32" t="s">
        <v>80</v>
      </c>
      <c r="O49" s="31">
        <f>34520</f>
        <v>34520</v>
      </c>
      <c r="P49" s="32" t="s">
        <v>87</v>
      </c>
      <c r="Q49" s="31">
        <f>36500</f>
        <v>36500</v>
      </c>
      <c r="R49" s="32" t="s">
        <v>934</v>
      </c>
      <c r="S49" s="33">
        <f>35774</f>
        <v>35774</v>
      </c>
      <c r="T49" s="30">
        <f>44</f>
        <v>44</v>
      </c>
      <c r="U49" s="30">
        <f>3</f>
        <v>3</v>
      </c>
      <c r="V49" s="30">
        <f>1565580</f>
        <v>1565580</v>
      </c>
      <c r="W49" s="30">
        <f>107690</f>
        <v>107690</v>
      </c>
      <c r="X49" s="34">
        <f>10</f>
        <v>10</v>
      </c>
    </row>
    <row r="50" spans="1:24" x14ac:dyDescent="0.15">
      <c r="A50" s="25" t="s">
        <v>971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26935</f>
        <v>26935</v>
      </c>
      <c r="L50" s="32" t="s">
        <v>909</v>
      </c>
      <c r="M50" s="31">
        <f>27575</f>
        <v>27575</v>
      </c>
      <c r="N50" s="32" t="s">
        <v>818</v>
      </c>
      <c r="O50" s="31">
        <f>25990</f>
        <v>25990</v>
      </c>
      <c r="P50" s="32" t="s">
        <v>813</v>
      </c>
      <c r="Q50" s="31">
        <f>27550</f>
        <v>27550</v>
      </c>
      <c r="R50" s="32" t="s">
        <v>818</v>
      </c>
      <c r="S50" s="33">
        <f>26885.94</f>
        <v>26885.94</v>
      </c>
      <c r="T50" s="30">
        <f>104618</f>
        <v>104618</v>
      </c>
      <c r="U50" s="30">
        <f>94399</f>
        <v>94399</v>
      </c>
      <c r="V50" s="30">
        <f>2814771333</f>
        <v>2814771333</v>
      </c>
      <c r="W50" s="30">
        <f>2540356213</f>
        <v>2540356213</v>
      </c>
      <c r="X50" s="34">
        <f>16</f>
        <v>16</v>
      </c>
    </row>
    <row r="51" spans="1:24" x14ac:dyDescent="0.15">
      <c r="A51" s="25" t="s">
        <v>971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2000</f>
        <v>2000</v>
      </c>
      <c r="L51" s="32" t="s">
        <v>909</v>
      </c>
      <c r="M51" s="31">
        <f>2060</f>
        <v>2060</v>
      </c>
      <c r="N51" s="32" t="s">
        <v>934</v>
      </c>
      <c r="O51" s="31">
        <f>1975.5</f>
        <v>1975.5</v>
      </c>
      <c r="P51" s="32" t="s">
        <v>813</v>
      </c>
      <c r="Q51" s="31">
        <f>2051.5</f>
        <v>2051.5</v>
      </c>
      <c r="R51" s="32" t="s">
        <v>818</v>
      </c>
      <c r="S51" s="33">
        <f>2026.39</f>
        <v>2026.39</v>
      </c>
      <c r="T51" s="30">
        <f>502530</f>
        <v>502530</v>
      </c>
      <c r="U51" s="30">
        <f>194500</f>
        <v>194500</v>
      </c>
      <c r="V51" s="30">
        <f>1024665270</f>
        <v>1024665270</v>
      </c>
      <c r="W51" s="30">
        <f>396889265</f>
        <v>396889265</v>
      </c>
      <c r="X51" s="34">
        <f>19</f>
        <v>19</v>
      </c>
    </row>
    <row r="52" spans="1:24" x14ac:dyDescent="0.15">
      <c r="A52" s="25" t="s">
        <v>971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1576</f>
        <v>1576</v>
      </c>
      <c r="L52" s="32" t="s">
        <v>909</v>
      </c>
      <c r="M52" s="31">
        <f>1601</f>
        <v>1601</v>
      </c>
      <c r="N52" s="32" t="s">
        <v>934</v>
      </c>
      <c r="O52" s="31">
        <f>1556.5</f>
        <v>1556.5</v>
      </c>
      <c r="P52" s="32" t="s">
        <v>816</v>
      </c>
      <c r="Q52" s="31">
        <f>1592</f>
        <v>1592</v>
      </c>
      <c r="R52" s="32" t="s">
        <v>818</v>
      </c>
      <c r="S52" s="33">
        <f>1582.25</f>
        <v>1582.25</v>
      </c>
      <c r="T52" s="30">
        <f>1880</f>
        <v>1880</v>
      </c>
      <c r="U52" s="30" t="str">
        <f>"－"</f>
        <v>－</v>
      </c>
      <c r="V52" s="30">
        <f>2976295</f>
        <v>2976295</v>
      </c>
      <c r="W52" s="30" t="str">
        <f>"－"</f>
        <v>－</v>
      </c>
      <c r="X52" s="34">
        <f>16</f>
        <v>16</v>
      </c>
    </row>
    <row r="53" spans="1:24" x14ac:dyDescent="0.15">
      <c r="A53" s="25" t="s">
        <v>971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4405</f>
        <v>4405</v>
      </c>
      <c r="L53" s="32" t="s">
        <v>909</v>
      </c>
      <c r="M53" s="31">
        <f>4575</f>
        <v>4575</v>
      </c>
      <c r="N53" s="32" t="s">
        <v>813</v>
      </c>
      <c r="O53" s="31">
        <f>4265</f>
        <v>4265</v>
      </c>
      <c r="P53" s="32" t="s">
        <v>818</v>
      </c>
      <c r="Q53" s="31">
        <f>4295</f>
        <v>4295</v>
      </c>
      <c r="R53" s="32" t="s">
        <v>818</v>
      </c>
      <c r="S53" s="33">
        <f>4406.05</f>
        <v>4406.05</v>
      </c>
      <c r="T53" s="30">
        <f>599398</f>
        <v>599398</v>
      </c>
      <c r="U53" s="30">
        <f>115000</f>
        <v>115000</v>
      </c>
      <c r="V53" s="30">
        <f>2653170190</f>
        <v>2653170190</v>
      </c>
      <c r="W53" s="30">
        <f>499226500</f>
        <v>499226500</v>
      </c>
      <c r="X53" s="34">
        <f>19</f>
        <v>19</v>
      </c>
    </row>
    <row r="54" spans="1:24" x14ac:dyDescent="0.15">
      <c r="A54" s="25" t="s">
        <v>971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5130</f>
        <v>5130</v>
      </c>
      <c r="L54" s="32" t="s">
        <v>909</v>
      </c>
      <c r="M54" s="31">
        <f>5330</f>
        <v>5330</v>
      </c>
      <c r="N54" s="32" t="s">
        <v>813</v>
      </c>
      <c r="O54" s="31">
        <f>5040</f>
        <v>5040</v>
      </c>
      <c r="P54" s="32" t="s">
        <v>934</v>
      </c>
      <c r="Q54" s="31">
        <f>5060</f>
        <v>5060</v>
      </c>
      <c r="R54" s="32" t="s">
        <v>818</v>
      </c>
      <c r="S54" s="33">
        <f>5175.26</f>
        <v>5175.26</v>
      </c>
      <c r="T54" s="30">
        <f>1033107</f>
        <v>1033107</v>
      </c>
      <c r="U54" s="30">
        <f>570000</f>
        <v>570000</v>
      </c>
      <c r="V54" s="30">
        <f>5381599660</f>
        <v>5381599660</v>
      </c>
      <c r="W54" s="30">
        <f>2941732000</f>
        <v>2941732000</v>
      </c>
      <c r="X54" s="34">
        <f>19</f>
        <v>19</v>
      </c>
    </row>
    <row r="55" spans="1:24" x14ac:dyDescent="0.15">
      <c r="A55" s="25" t="s">
        <v>971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15815</f>
        <v>15815</v>
      </c>
      <c r="L55" s="32" t="s">
        <v>909</v>
      </c>
      <c r="M55" s="31">
        <f>16650</f>
        <v>16650</v>
      </c>
      <c r="N55" s="32" t="s">
        <v>818</v>
      </c>
      <c r="O55" s="31">
        <f>14585</f>
        <v>14585</v>
      </c>
      <c r="P55" s="32" t="s">
        <v>813</v>
      </c>
      <c r="Q55" s="31">
        <f>16425</f>
        <v>16425</v>
      </c>
      <c r="R55" s="32" t="s">
        <v>818</v>
      </c>
      <c r="S55" s="33">
        <f>15702.63</f>
        <v>15702.63</v>
      </c>
      <c r="T55" s="30">
        <f>17941033</f>
        <v>17941033</v>
      </c>
      <c r="U55" s="30">
        <f>30006</f>
        <v>30006</v>
      </c>
      <c r="V55" s="30">
        <f>280875281930</f>
        <v>280875281930</v>
      </c>
      <c r="W55" s="30">
        <f>453952940</f>
        <v>453952940</v>
      </c>
      <c r="X55" s="34">
        <f>19</f>
        <v>19</v>
      </c>
    </row>
    <row r="56" spans="1:24" x14ac:dyDescent="0.15">
      <c r="A56" s="25" t="s">
        <v>971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1655</f>
        <v>1655</v>
      </c>
      <c r="L56" s="32" t="s">
        <v>909</v>
      </c>
      <c r="M56" s="31">
        <f>1784</f>
        <v>1784</v>
      </c>
      <c r="N56" s="32" t="s">
        <v>813</v>
      </c>
      <c r="O56" s="31">
        <f>1549</f>
        <v>1549</v>
      </c>
      <c r="P56" s="32" t="s">
        <v>818</v>
      </c>
      <c r="Q56" s="31">
        <f>1570</f>
        <v>1570</v>
      </c>
      <c r="R56" s="32" t="s">
        <v>818</v>
      </c>
      <c r="S56" s="33">
        <f>1654.42</f>
        <v>1654.42</v>
      </c>
      <c r="T56" s="30">
        <f>162885831</f>
        <v>162885831</v>
      </c>
      <c r="U56" s="30">
        <f>227833</f>
        <v>227833</v>
      </c>
      <c r="V56" s="30">
        <f>270502298031</f>
        <v>270502298031</v>
      </c>
      <c r="W56" s="30">
        <f>390548802</f>
        <v>390548802</v>
      </c>
      <c r="X56" s="34">
        <f>19</f>
        <v>19</v>
      </c>
    </row>
    <row r="57" spans="1:24" x14ac:dyDescent="0.15">
      <c r="A57" s="25" t="s">
        <v>971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14320</f>
        <v>14320</v>
      </c>
      <c r="L57" s="32" t="s">
        <v>909</v>
      </c>
      <c r="M57" s="31">
        <f>14630</f>
        <v>14630</v>
      </c>
      <c r="N57" s="32" t="s">
        <v>934</v>
      </c>
      <c r="O57" s="31">
        <f>13175</f>
        <v>13175</v>
      </c>
      <c r="P57" s="32" t="s">
        <v>813</v>
      </c>
      <c r="Q57" s="31">
        <f>14375</f>
        <v>14375</v>
      </c>
      <c r="R57" s="32" t="s">
        <v>818</v>
      </c>
      <c r="S57" s="33">
        <f>13939.72</f>
        <v>13939.72</v>
      </c>
      <c r="T57" s="30">
        <f>4301</f>
        <v>4301</v>
      </c>
      <c r="U57" s="30" t="str">
        <f t="shared" ref="U57:U65" si="2">"－"</f>
        <v>－</v>
      </c>
      <c r="V57" s="30">
        <f>58932540</f>
        <v>58932540</v>
      </c>
      <c r="W57" s="30" t="str">
        <f t="shared" ref="W57:W65" si="3">"－"</f>
        <v>－</v>
      </c>
      <c r="X57" s="34">
        <f>18</f>
        <v>18</v>
      </c>
    </row>
    <row r="58" spans="1:24" x14ac:dyDescent="0.15">
      <c r="A58" s="25" t="s">
        <v>971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4960</f>
        <v>4960</v>
      </c>
      <c r="L58" s="32" t="s">
        <v>909</v>
      </c>
      <c r="M58" s="31">
        <f>5120</f>
        <v>5120</v>
      </c>
      <c r="N58" s="32" t="s">
        <v>813</v>
      </c>
      <c r="O58" s="31">
        <f>4910</f>
        <v>4910</v>
      </c>
      <c r="P58" s="32" t="s">
        <v>934</v>
      </c>
      <c r="Q58" s="31">
        <f>4910</f>
        <v>4910</v>
      </c>
      <c r="R58" s="32" t="s">
        <v>934</v>
      </c>
      <c r="S58" s="33">
        <f>5024.44</f>
        <v>5024.4399999999996</v>
      </c>
      <c r="T58" s="30">
        <f>120</f>
        <v>120</v>
      </c>
      <c r="U58" s="30" t="str">
        <f t="shared" si="2"/>
        <v>－</v>
      </c>
      <c r="V58" s="30">
        <f>607140</f>
        <v>607140</v>
      </c>
      <c r="W58" s="30" t="str">
        <f t="shared" si="3"/>
        <v>－</v>
      </c>
      <c r="X58" s="34">
        <f>9</f>
        <v>9</v>
      </c>
    </row>
    <row r="59" spans="1:24" x14ac:dyDescent="0.15">
      <c r="A59" s="25" t="s">
        <v>971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1995</f>
        <v>1995</v>
      </c>
      <c r="L59" s="32" t="s">
        <v>909</v>
      </c>
      <c r="M59" s="31">
        <f>2103</f>
        <v>2103</v>
      </c>
      <c r="N59" s="32" t="s">
        <v>813</v>
      </c>
      <c r="O59" s="31">
        <f>1888</f>
        <v>1888</v>
      </c>
      <c r="P59" s="32" t="s">
        <v>818</v>
      </c>
      <c r="Q59" s="31">
        <f>1900</f>
        <v>1900</v>
      </c>
      <c r="R59" s="32" t="s">
        <v>818</v>
      </c>
      <c r="S59" s="33">
        <f>1987.32</f>
        <v>1987.32</v>
      </c>
      <c r="T59" s="30">
        <f>23016</f>
        <v>23016</v>
      </c>
      <c r="U59" s="30" t="str">
        <f t="shared" si="2"/>
        <v>－</v>
      </c>
      <c r="V59" s="30">
        <f>45993450</f>
        <v>45993450</v>
      </c>
      <c r="W59" s="30" t="str">
        <f t="shared" si="3"/>
        <v>－</v>
      </c>
      <c r="X59" s="34">
        <f>19</f>
        <v>19</v>
      </c>
    </row>
    <row r="60" spans="1:24" x14ac:dyDescent="0.15">
      <c r="A60" s="25" t="s">
        <v>971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13685</f>
        <v>13685</v>
      </c>
      <c r="L60" s="32" t="s">
        <v>909</v>
      </c>
      <c r="M60" s="31">
        <f>13855</f>
        <v>13855</v>
      </c>
      <c r="N60" s="32" t="s">
        <v>818</v>
      </c>
      <c r="O60" s="31">
        <f>12575</f>
        <v>12575</v>
      </c>
      <c r="P60" s="32" t="s">
        <v>816</v>
      </c>
      <c r="Q60" s="31">
        <f>13820</f>
        <v>13820</v>
      </c>
      <c r="R60" s="32" t="s">
        <v>818</v>
      </c>
      <c r="S60" s="33">
        <f>13199.71</f>
        <v>13199.71</v>
      </c>
      <c r="T60" s="30">
        <f>2760</f>
        <v>2760</v>
      </c>
      <c r="U60" s="30" t="str">
        <f t="shared" si="2"/>
        <v>－</v>
      </c>
      <c r="V60" s="30">
        <f>36432650</f>
        <v>36432650</v>
      </c>
      <c r="W60" s="30" t="str">
        <f t="shared" si="3"/>
        <v>－</v>
      </c>
      <c r="X60" s="34">
        <f>17</f>
        <v>17</v>
      </c>
    </row>
    <row r="61" spans="1:24" x14ac:dyDescent="0.15">
      <c r="A61" s="25" t="s">
        <v>971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4615</f>
        <v>4615</v>
      </c>
      <c r="L61" s="32" t="s">
        <v>911</v>
      </c>
      <c r="M61" s="31">
        <f>4720</f>
        <v>4720</v>
      </c>
      <c r="N61" s="32" t="s">
        <v>813</v>
      </c>
      <c r="O61" s="31">
        <f>4615</f>
        <v>4615</v>
      </c>
      <c r="P61" s="32" t="s">
        <v>911</v>
      </c>
      <c r="Q61" s="31">
        <f>4677</f>
        <v>4677</v>
      </c>
      <c r="R61" s="32" t="s">
        <v>906</v>
      </c>
      <c r="S61" s="33">
        <f>4673.25</f>
        <v>4673.25</v>
      </c>
      <c r="T61" s="30">
        <f>40</f>
        <v>40</v>
      </c>
      <c r="U61" s="30" t="str">
        <f t="shared" si="2"/>
        <v>－</v>
      </c>
      <c r="V61" s="30">
        <f>186930</f>
        <v>186930</v>
      </c>
      <c r="W61" s="30" t="str">
        <f t="shared" si="3"/>
        <v>－</v>
      </c>
      <c r="X61" s="34">
        <f>4</f>
        <v>4</v>
      </c>
    </row>
    <row r="62" spans="1:24" x14ac:dyDescent="0.15">
      <c r="A62" s="25" t="s">
        <v>971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1959.5</f>
        <v>1959.5</v>
      </c>
      <c r="L62" s="32" t="s">
        <v>909</v>
      </c>
      <c r="M62" s="31">
        <f>2065</f>
        <v>2065</v>
      </c>
      <c r="N62" s="32" t="s">
        <v>813</v>
      </c>
      <c r="O62" s="31">
        <f>1873</f>
        <v>1873</v>
      </c>
      <c r="P62" s="32" t="s">
        <v>934</v>
      </c>
      <c r="Q62" s="31">
        <f>1880.5</f>
        <v>1880.5</v>
      </c>
      <c r="R62" s="32" t="s">
        <v>818</v>
      </c>
      <c r="S62" s="33">
        <f>1959.66</f>
        <v>1959.66</v>
      </c>
      <c r="T62" s="30">
        <f>51330</f>
        <v>51330</v>
      </c>
      <c r="U62" s="30" t="str">
        <f t="shared" si="2"/>
        <v>－</v>
      </c>
      <c r="V62" s="30">
        <f>100723115</f>
        <v>100723115</v>
      </c>
      <c r="W62" s="30" t="str">
        <f t="shared" si="3"/>
        <v>－</v>
      </c>
      <c r="X62" s="34">
        <f>19</f>
        <v>19</v>
      </c>
    </row>
    <row r="63" spans="1:24" x14ac:dyDescent="0.15">
      <c r="A63" s="25" t="s">
        <v>971</v>
      </c>
      <c r="B63" s="25" t="s">
        <v>221</v>
      </c>
      <c r="C63" s="25" t="s">
        <v>222</v>
      </c>
      <c r="D63" s="25" t="s">
        <v>223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780</f>
        <v>780</v>
      </c>
      <c r="L63" s="32" t="s">
        <v>909</v>
      </c>
      <c r="M63" s="31">
        <f>849</f>
        <v>849</v>
      </c>
      <c r="N63" s="32" t="s">
        <v>56</v>
      </c>
      <c r="O63" s="31">
        <f>753</f>
        <v>753</v>
      </c>
      <c r="P63" s="32" t="s">
        <v>934</v>
      </c>
      <c r="Q63" s="31">
        <f>765</f>
        <v>765</v>
      </c>
      <c r="R63" s="32" t="s">
        <v>818</v>
      </c>
      <c r="S63" s="33">
        <f>790.84</f>
        <v>790.84</v>
      </c>
      <c r="T63" s="30">
        <f>62908</f>
        <v>62908</v>
      </c>
      <c r="U63" s="30" t="str">
        <f t="shared" si="2"/>
        <v>－</v>
      </c>
      <c r="V63" s="30">
        <f>51723282</f>
        <v>51723282</v>
      </c>
      <c r="W63" s="30" t="str">
        <f t="shared" si="3"/>
        <v>－</v>
      </c>
      <c r="X63" s="34">
        <f>19</f>
        <v>19</v>
      </c>
    </row>
    <row r="64" spans="1:24" x14ac:dyDescent="0.15">
      <c r="A64" s="25" t="s">
        <v>971</v>
      </c>
      <c r="B64" s="25" t="s">
        <v>224</v>
      </c>
      <c r="C64" s="25" t="s">
        <v>225</v>
      </c>
      <c r="D64" s="25" t="s">
        <v>226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1943.5</f>
        <v>1943.5</v>
      </c>
      <c r="L64" s="32" t="s">
        <v>909</v>
      </c>
      <c r="M64" s="31">
        <f>1972.5</f>
        <v>1972.5</v>
      </c>
      <c r="N64" s="32" t="s">
        <v>934</v>
      </c>
      <c r="O64" s="31">
        <f>1870</f>
        <v>1870</v>
      </c>
      <c r="P64" s="32" t="s">
        <v>813</v>
      </c>
      <c r="Q64" s="31">
        <f>1956.5</f>
        <v>1956.5</v>
      </c>
      <c r="R64" s="32" t="s">
        <v>818</v>
      </c>
      <c r="S64" s="33">
        <f>1925.24</f>
        <v>1925.24</v>
      </c>
      <c r="T64" s="30">
        <f>875930</f>
        <v>875930</v>
      </c>
      <c r="U64" s="30" t="str">
        <f t="shared" si="2"/>
        <v>－</v>
      </c>
      <c r="V64" s="30">
        <f>1670963855</f>
        <v>1670963855</v>
      </c>
      <c r="W64" s="30" t="str">
        <f t="shared" si="3"/>
        <v>－</v>
      </c>
      <c r="X64" s="34">
        <f>19</f>
        <v>19</v>
      </c>
    </row>
    <row r="65" spans="1:24" x14ac:dyDescent="0.15">
      <c r="A65" s="25" t="s">
        <v>971</v>
      </c>
      <c r="B65" s="25" t="s">
        <v>227</v>
      </c>
      <c r="C65" s="25" t="s">
        <v>228</v>
      </c>
      <c r="D65" s="25" t="s">
        <v>229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17460</f>
        <v>17460</v>
      </c>
      <c r="L65" s="32" t="s">
        <v>909</v>
      </c>
      <c r="M65" s="31">
        <f>17820</f>
        <v>17820</v>
      </c>
      <c r="N65" s="32" t="s">
        <v>80</v>
      </c>
      <c r="O65" s="31">
        <f>16795</f>
        <v>16795</v>
      </c>
      <c r="P65" s="32" t="s">
        <v>813</v>
      </c>
      <c r="Q65" s="31">
        <f>17580</f>
        <v>17580</v>
      </c>
      <c r="R65" s="32" t="s">
        <v>818</v>
      </c>
      <c r="S65" s="33">
        <f>17262.89</f>
        <v>17262.89</v>
      </c>
      <c r="T65" s="30">
        <f>3635</f>
        <v>3635</v>
      </c>
      <c r="U65" s="30" t="str">
        <f t="shared" si="2"/>
        <v>－</v>
      </c>
      <c r="V65" s="30">
        <f>63255720</f>
        <v>63255720</v>
      </c>
      <c r="W65" s="30" t="str">
        <f t="shared" si="3"/>
        <v>－</v>
      </c>
      <c r="X65" s="34">
        <f>19</f>
        <v>19</v>
      </c>
    </row>
    <row r="66" spans="1:24" x14ac:dyDescent="0.15">
      <c r="A66" s="25" t="s">
        <v>971</v>
      </c>
      <c r="B66" s="25" t="s">
        <v>230</v>
      </c>
      <c r="C66" s="25" t="s">
        <v>231</v>
      </c>
      <c r="D66" s="25" t="s">
        <v>232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1955</f>
        <v>1955</v>
      </c>
      <c r="L66" s="32" t="s">
        <v>909</v>
      </c>
      <c r="M66" s="31">
        <f>1986</f>
        <v>1986</v>
      </c>
      <c r="N66" s="32" t="s">
        <v>818</v>
      </c>
      <c r="O66" s="31">
        <f>1881</f>
        <v>1881</v>
      </c>
      <c r="P66" s="32" t="s">
        <v>813</v>
      </c>
      <c r="Q66" s="31">
        <f>1970</f>
        <v>1970</v>
      </c>
      <c r="R66" s="32" t="s">
        <v>818</v>
      </c>
      <c r="S66" s="33">
        <f>1938.68</f>
        <v>1938.68</v>
      </c>
      <c r="T66" s="30">
        <f>13624204</f>
        <v>13624204</v>
      </c>
      <c r="U66" s="30">
        <f>4620728</f>
        <v>4620728</v>
      </c>
      <c r="V66" s="30">
        <f>26352960938</f>
        <v>26352960938</v>
      </c>
      <c r="W66" s="30">
        <f>8933349260</f>
        <v>8933349260</v>
      </c>
      <c r="X66" s="34">
        <f>19</f>
        <v>19</v>
      </c>
    </row>
    <row r="67" spans="1:24" x14ac:dyDescent="0.15">
      <c r="A67" s="25" t="s">
        <v>971</v>
      </c>
      <c r="B67" s="25" t="s">
        <v>233</v>
      </c>
      <c r="C67" s="25" t="s">
        <v>234</v>
      </c>
      <c r="D67" s="25" t="s">
        <v>235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2060</f>
        <v>2060</v>
      </c>
      <c r="L67" s="32" t="s">
        <v>909</v>
      </c>
      <c r="M67" s="31">
        <f>2072</f>
        <v>2072</v>
      </c>
      <c r="N67" s="32" t="s">
        <v>909</v>
      </c>
      <c r="O67" s="31">
        <f>1976</f>
        <v>1976</v>
      </c>
      <c r="P67" s="32" t="s">
        <v>821</v>
      </c>
      <c r="Q67" s="31">
        <f>2062</f>
        <v>2062</v>
      </c>
      <c r="R67" s="32" t="s">
        <v>818</v>
      </c>
      <c r="S67" s="33">
        <f>2032.53</f>
        <v>2032.53</v>
      </c>
      <c r="T67" s="30">
        <f>5283219</f>
        <v>5283219</v>
      </c>
      <c r="U67" s="30">
        <f>3779834</f>
        <v>3779834</v>
      </c>
      <c r="V67" s="30">
        <f>10761986069</f>
        <v>10761986069</v>
      </c>
      <c r="W67" s="30">
        <f>7721422801</f>
        <v>7721422801</v>
      </c>
      <c r="X67" s="34">
        <f>19</f>
        <v>19</v>
      </c>
    </row>
    <row r="68" spans="1:24" x14ac:dyDescent="0.15">
      <c r="A68" s="25" t="s">
        <v>971</v>
      </c>
      <c r="B68" s="25" t="s">
        <v>236</v>
      </c>
      <c r="C68" s="25" t="s">
        <v>237</v>
      </c>
      <c r="D68" s="25" t="s">
        <v>238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1860</f>
        <v>1860</v>
      </c>
      <c r="L68" s="32" t="s">
        <v>909</v>
      </c>
      <c r="M68" s="31">
        <f>1861</f>
        <v>1861</v>
      </c>
      <c r="N68" s="32" t="s">
        <v>80</v>
      </c>
      <c r="O68" s="31">
        <f>1789</f>
        <v>1789</v>
      </c>
      <c r="P68" s="32" t="s">
        <v>56</v>
      </c>
      <c r="Q68" s="31">
        <f>1843</f>
        <v>1843</v>
      </c>
      <c r="R68" s="32" t="s">
        <v>818</v>
      </c>
      <c r="S68" s="33">
        <f>1824.53</f>
        <v>1824.53</v>
      </c>
      <c r="T68" s="30">
        <f>3973</f>
        <v>3973</v>
      </c>
      <c r="U68" s="30" t="str">
        <f>"－"</f>
        <v>－</v>
      </c>
      <c r="V68" s="30">
        <f>7196144</f>
        <v>7196144</v>
      </c>
      <c r="W68" s="30" t="str">
        <f>"－"</f>
        <v>－</v>
      </c>
      <c r="X68" s="34">
        <f>19</f>
        <v>19</v>
      </c>
    </row>
    <row r="69" spans="1:24" x14ac:dyDescent="0.15">
      <c r="A69" s="25" t="s">
        <v>971</v>
      </c>
      <c r="B69" s="25" t="s">
        <v>239</v>
      </c>
      <c r="C69" s="25" t="s">
        <v>240</v>
      </c>
      <c r="D69" s="25" t="s">
        <v>241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2360</f>
        <v>2360</v>
      </c>
      <c r="L69" s="32" t="s">
        <v>909</v>
      </c>
      <c r="M69" s="31">
        <f>2393</f>
        <v>2393</v>
      </c>
      <c r="N69" s="32" t="s">
        <v>80</v>
      </c>
      <c r="O69" s="31">
        <f>2284</f>
        <v>2284</v>
      </c>
      <c r="P69" s="32" t="s">
        <v>813</v>
      </c>
      <c r="Q69" s="31">
        <f>2365</f>
        <v>2365</v>
      </c>
      <c r="R69" s="32" t="s">
        <v>818</v>
      </c>
      <c r="S69" s="33">
        <f>2339.32</f>
        <v>2339.3200000000002</v>
      </c>
      <c r="T69" s="30">
        <f>471520</f>
        <v>471520</v>
      </c>
      <c r="U69" s="30">
        <f>22002</f>
        <v>22002</v>
      </c>
      <c r="V69" s="30">
        <f>1094949225</f>
        <v>1094949225</v>
      </c>
      <c r="W69" s="30">
        <f>51746462</f>
        <v>51746462</v>
      </c>
      <c r="X69" s="34">
        <f>19</f>
        <v>19</v>
      </c>
    </row>
    <row r="70" spans="1:24" x14ac:dyDescent="0.15">
      <c r="A70" s="25" t="s">
        <v>971</v>
      </c>
      <c r="B70" s="25" t="s">
        <v>242</v>
      </c>
      <c r="C70" s="25" t="s">
        <v>243</v>
      </c>
      <c r="D70" s="25" t="s">
        <v>244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23320</f>
        <v>23320</v>
      </c>
      <c r="L70" s="32" t="s">
        <v>821</v>
      </c>
      <c r="M70" s="31">
        <f>24100</f>
        <v>24100</v>
      </c>
      <c r="N70" s="32" t="s">
        <v>934</v>
      </c>
      <c r="O70" s="31">
        <f>23320</f>
        <v>23320</v>
      </c>
      <c r="P70" s="32" t="s">
        <v>821</v>
      </c>
      <c r="Q70" s="31">
        <f>24100</f>
        <v>24100</v>
      </c>
      <c r="R70" s="32" t="s">
        <v>934</v>
      </c>
      <c r="S70" s="33">
        <f>23808.33</f>
        <v>23808.33</v>
      </c>
      <c r="T70" s="30">
        <f>4</f>
        <v>4</v>
      </c>
      <c r="U70" s="30" t="str">
        <f>"－"</f>
        <v>－</v>
      </c>
      <c r="V70" s="30">
        <f>94745</f>
        <v>94745</v>
      </c>
      <c r="W70" s="30" t="str">
        <f>"－"</f>
        <v>－</v>
      </c>
      <c r="X70" s="34">
        <f>3</f>
        <v>3</v>
      </c>
    </row>
    <row r="71" spans="1:24" x14ac:dyDescent="0.15">
      <c r="A71" s="25" t="s">
        <v>971</v>
      </c>
      <c r="B71" s="25" t="s">
        <v>245</v>
      </c>
      <c r="C71" s="25" t="s">
        <v>246</v>
      </c>
      <c r="D71" s="25" t="s">
        <v>247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19080</f>
        <v>19080</v>
      </c>
      <c r="L71" s="32" t="s">
        <v>909</v>
      </c>
      <c r="M71" s="31">
        <f>19255</f>
        <v>19255</v>
      </c>
      <c r="N71" s="32" t="s">
        <v>80</v>
      </c>
      <c r="O71" s="31">
        <f>18585</f>
        <v>18585</v>
      </c>
      <c r="P71" s="32" t="s">
        <v>813</v>
      </c>
      <c r="Q71" s="31">
        <f>18800</f>
        <v>18800</v>
      </c>
      <c r="R71" s="32" t="s">
        <v>56</v>
      </c>
      <c r="S71" s="33">
        <f>18976</f>
        <v>18976</v>
      </c>
      <c r="T71" s="30">
        <f>65</f>
        <v>65</v>
      </c>
      <c r="U71" s="30" t="str">
        <f>"－"</f>
        <v>－</v>
      </c>
      <c r="V71" s="30">
        <f>1237510</f>
        <v>1237510</v>
      </c>
      <c r="W71" s="30" t="str">
        <f>"－"</f>
        <v>－</v>
      </c>
      <c r="X71" s="34">
        <f>5</f>
        <v>5</v>
      </c>
    </row>
    <row r="72" spans="1:24" x14ac:dyDescent="0.15">
      <c r="A72" s="25" t="s">
        <v>971</v>
      </c>
      <c r="B72" s="25" t="s">
        <v>248</v>
      </c>
      <c r="C72" s="25" t="s">
        <v>249</v>
      </c>
      <c r="D72" s="25" t="s">
        <v>250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2000</f>
        <v>2000</v>
      </c>
      <c r="L72" s="32" t="s">
        <v>909</v>
      </c>
      <c r="M72" s="31">
        <f>2012</f>
        <v>2012</v>
      </c>
      <c r="N72" s="32" t="s">
        <v>818</v>
      </c>
      <c r="O72" s="31">
        <f>1908</f>
        <v>1908</v>
      </c>
      <c r="P72" s="32" t="s">
        <v>813</v>
      </c>
      <c r="Q72" s="31">
        <f>2003</f>
        <v>2003</v>
      </c>
      <c r="R72" s="32" t="s">
        <v>818</v>
      </c>
      <c r="S72" s="33">
        <f>1957.84</f>
        <v>1957.84</v>
      </c>
      <c r="T72" s="30">
        <f>480</f>
        <v>480</v>
      </c>
      <c r="U72" s="30" t="str">
        <f>"－"</f>
        <v>－</v>
      </c>
      <c r="V72" s="30">
        <f>939595</f>
        <v>939595</v>
      </c>
      <c r="W72" s="30" t="str">
        <f>"－"</f>
        <v>－</v>
      </c>
      <c r="X72" s="34">
        <f>19</f>
        <v>19</v>
      </c>
    </row>
    <row r="73" spans="1:24" x14ac:dyDescent="0.15">
      <c r="A73" s="25" t="s">
        <v>971</v>
      </c>
      <c r="B73" s="25" t="s">
        <v>251</v>
      </c>
      <c r="C73" s="25" t="s">
        <v>252</v>
      </c>
      <c r="D73" s="25" t="s">
        <v>253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2066</f>
        <v>2066</v>
      </c>
      <c r="L73" s="32" t="s">
        <v>909</v>
      </c>
      <c r="M73" s="31">
        <f>2101</f>
        <v>2101</v>
      </c>
      <c r="N73" s="32" t="s">
        <v>934</v>
      </c>
      <c r="O73" s="31">
        <f>2028</f>
        <v>2028</v>
      </c>
      <c r="P73" s="32" t="s">
        <v>911</v>
      </c>
      <c r="Q73" s="31">
        <f>2080</f>
        <v>2080</v>
      </c>
      <c r="R73" s="32" t="s">
        <v>818</v>
      </c>
      <c r="S73" s="33">
        <f>2072.11</f>
        <v>2072.11</v>
      </c>
      <c r="T73" s="30">
        <f>3568695</f>
        <v>3568695</v>
      </c>
      <c r="U73" s="30">
        <f>1758136</f>
        <v>1758136</v>
      </c>
      <c r="V73" s="30">
        <f>7392412655</f>
        <v>7392412655</v>
      </c>
      <c r="W73" s="30">
        <f>3642335319</f>
        <v>3642335319</v>
      </c>
      <c r="X73" s="34">
        <f>19</f>
        <v>19</v>
      </c>
    </row>
    <row r="74" spans="1:24" x14ac:dyDescent="0.15">
      <c r="A74" s="25" t="s">
        <v>971</v>
      </c>
      <c r="B74" s="25" t="s">
        <v>254</v>
      </c>
      <c r="C74" s="25" t="s">
        <v>255</v>
      </c>
      <c r="D74" s="25" t="s">
        <v>256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2007</f>
        <v>2007</v>
      </c>
      <c r="L74" s="32" t="s">
        <v>909</v>
      </c>
      <c r="M74" s="31">
        <f>2055</f>
        <v>2055</v>
      </c>
      <c r="N74" s="32" t="s">
        <v>909</v>
      </c>
      <c r="O74" s="31">
        <f>1950</f>
        <v>1950</v>
      </c>
      <c r="P74" s="32" t="s">
        <v>818</v>
      </c>
      <c r="Q74" s="31">
        <f>1950</f>
        <v>1950</v>
      </c>
      <c r="R74" s="32" t="s">
        <v>818</v>
      </c>
      <c r="S74" s="33">
        <f>2011.89</f>
        <v>2011.89</v>
      </c>
      <c r="T74" s="30">
        <f>395</f>
        <v>395</v>
      </c>
      <c r="U74" s="30" t="str">
        <f>"－"</f>
        <v>－</v>
      </c>
      <c r="V74" s="30">
        <f>795017</f>
        <v>795017</v>
      </c>
      <c r="W74" s="30" t="str">
        <f>"－"</f>
        <v>－</v>
      </c>
      <c r="X74" s="34">
        <f>19</f>
        <v>19</v>
      </c>
    </row>
    <row r="75" spans="1:24" x14ac:dyDescent="0.15">
      <c r="A75" s="25" t="s">
        <v>971</v>
      </c>
      <c r="B75" s="25" t="s">
        <v>257</v>
      </c>
      <c r="C75" s="25" t="s">
        <v>258</v>
      </c>
      <c r="D75" s="25" t="s">
        <v>259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10</v>
      </c>
      <c r="K75" s="31">
        <f>1956</f>
        <v>1956</v>
      </c>
      <c r="L75" s="32" t="s">
        <v>909</v>
      </c>
      <c r="M75" s="31">
        <f>1980</f>
        <v>1980</v>
      </c>
      <c r="N75" s="32" t="s">
        <v>934</v>
      </c>
      <c r="O75" s="31">
        <f>1881</f>
        <v>1881</v>
      </c>
      <c r="P75" s="32" t="s">
        <v>813</v>
      </c>
      <c r="Q75" s="31">
        <f>1965.5</f>
        <v>1965.5</v>
      </c>
      <c r="R75" s="32" t="s">
        <v>818</v>
      </c>
      <c r="S75" s="33">
        <f>1933.18</f>
        <v>1933.18</v>
      </c>
      <c r="T75" s="30">
        <f>52570</f>
        <v>52570</v>
      </c>
      <c r="U75" s="30" t="str">
        <f>"－"</f>
        <v>－</v>
      </c>
      <c r="V75" s="30">
        <f>101408155</f>
        <v>101408155</v>
      </c>
      <c r="W75" s="30" t="str">
        <f>"－"</f>
        <v>－</v>
      </c>
      <c r="X75" s="34">
        <f>19</f>
        <v>19</v>
      </c>
    </row>
    <row r="76" spans="1:24" x14ac:dyDescent="0.15">
      <c r="A76" s="25" t="s">
        <v>971</v>
      </c>
      <c r="B76" s="25" t="s">
        <v>260</v>
      </c>
      <c r="C76" s="25" t="s">
        <v>261</v>
      </c>
      <c r="D76" s="25" t="s">
        <v>262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 t="str">
        <f>"－"</f>
        <v>－</v>
      </c>
      <c r="L76" s="32"/>
      <c r="M76" s="31" t="str">
        <f>"－"</f>
        <v>－</v>
      </c>
      <c r="N76" s="32"/>
      <c r="O76" s="31" t="str">
        <f>"－"</f>
        <v>－</v>
      </c>
      <c r="P76" s="32"/>
      <c r="Q76" s="31" t="str">
        <f>"－"</f>
        <v>－</v>
      </c>
      <c r="R76" s="32"/>
      <c r="S76" s="33" t="str">
        <f>"－"</f>
        <v>－</v>
      </c>
      <c r="T76" s="30" t="str">
        <f>"－"</f>
        <v>－</v>
      </c>
      <c r="U76" s="30" t="str">
        <f>"－"</f>
        <v>－</v>
      </c>
      <c r="V76" s="30" t="str">
        <f>"－"</f>
        <v>－</v>
      </c>
      <c r="W76" s="30" t="str">
        <f>"－"</f>
        <v>－</v>
      </c>
      <c r="X76" s="34" t="str">
        <f>"－"</f>
        <v>－</v>
      </c>
    </row>
    <row r="77" spans="1:24" x14ac:dyDescent="0.15">
      <c r="A77" s="25" t="s">
        <v>971</v>
      </c>
      <c r="B77" s="25" t="s">
        <v>263</v>
      </c>
      <c r="C77" s="25" t="s">
        <v>264</v>
      </c>
      <c r="D77" s="25" t="s">
        <v>265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22360</f>
        <v>22360</v>
      </c>
      <c r="L77" s="32" t="s">
        <v>909</v>
      </c>
      <c r="M77" s="31">
        <f>22360</f>
        <v>22360</v>
      </c>
      <c r="N77" s="32" t="s">
        <v>909</v>
      </c>
      <c r="O77" s="31">
        <f>22005</f>
        <v>22005</v>
      </c>
      <c r="P77" s="32" t="s">
        <v>935</v>
      </c>
      <c r="Q77" s="31">
        <f>22080</f>
        <v>22080</v>
      </c>
      <c r="R77" s="32" t="s">
        <v>818</v>
      </c>
      <c r="S77" s="33">
        <f>22126.05</f>
        <v>22126.05</v>
      </c>
      <c r="T77" s="30">
        <f>43109</f>
        <v>43109</v>
      </c>
      <c r="U77" s="30">
        <f>22140</f>
        <v>22140</v>
      </c>
      <c r="V77" s="30">
        <f>953133862</f>
        <v>953133862</v>
      </c>
      <c r="W77" s="30">
        <f>490243277</f>
        <v>490243277</v>
      </c>
      <c r="X77" s="34">
        <f>19</f>
        <v>19</v>
      </c>
    </row>
    <row r="78" spans="1:24" x14ac:dyDescent="0.15">
      <c r="A78" s="25" t="s">
        <v>971</v>
      </c>
      <c r="B78" s="25" t="s">
        <v>267</v>
      </c>
      <c r="C78" s="25" t="s">
        <v>268</v>
      </c>
      <c r="D78" s="25" t="s">
        <v>269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16155</f>
        <v>16155</v>
      </c>
      <c r="L78" s="32" t="s">
        <v>909</v>
      </c>
      <c r="M78" s="31">
        <f>16395</f>
        <v>16395</v>
      </c>
      <c r="N78" s="32" t="s">
        <v>815</v>
      </c>
      <c r="O78" s="31">
        <f>15775</f>
        <v>15775</v>
      </c>
      <c r="P78" s="32" t="s">
        <v>911</v>
      </c>
      <c r="Q78" s="31">
        <f>16190</f>
        <v>16190</v>
      </c>
      <c r="R78" s="32" t="s">
        <v>818</v>
      </c>
      <c r="S78" s="33">
        <f>16113.95</f>
        <v>16113.95</v>
      </c>
      <c r="T78" s="30">
        <f>770654</f>
        <v>770654</v>
      </c>
      <c r="U78" s="30">
        <f>545973</f>
        <v>545973</v>
      </c>
      <c r="V78" s="30">
        <f>12357608399</f>
        <v>12357608399</v>
      </c>
      <c r="W78" s="30">
        <f>8763961414</f>
        <v>8763961414</v>
      </c>
      <c r="X78" s="34">
        <f>19</f>
        <v>19</v>
      </c>
    </row>
    <row r="79" spans="1:24" x14ac:dyDescent="0.15">
      <c r="A79" s="25" t="s">
        <v>971</v>
      </c>
      <c r="B79" s="25" t="s">
        <v>270</v>
      </c>
      <c r="C79" s="25" t="s">
        <v>271</v>
      </c>
      <c r="D79" s="25" t="s">
        <v>272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10</v>
      </c>
      <c r="K79" s="31">
        <f>2049</f>
        <v>2049</v>
      </c>
      <c r="L79" s="32" t="s">
        <v>909</v>
      </c>
      <c r="M79" s="31">
        <f>2071.5</f>
        <v>2071.5</v>
      </c>
      <c r="N79" s="32" t="s">
        <v>818</v>
      </c>
      <c r="O79" s="31">
        <f>1989</f>
        <v>1989</v>
      </c>
      <c r="P79" s="32" t="s">
        <v>813</v>
      </c>
      <c r="Q79" s="31">
        <f>2071.5</f>
        <v>2071.5</v>
      </c>
      <c r="R79" s="32" t="s">
        <v>818</v>
      </c>
      <c r="S79" s="33">
        <f>2039.47</f>
        <v>2039.47</v>
      </c>
      <c r="T79" s="30">
        <f>3839250</f>
        <v>3839250</v>
      </c>
      <c r="U79" s="30">
        <f>1297620</f>
        <v>1297620</v>
      </c>
      <c r="V79" s="30">
        <f>7818860242</f>
        <v>7818860242</v>
      </c>
      <c r="W79" s="30">
        <f>2646466607</f>
        <v>2646466607</v>
      </c>
      <c r="X79" s="34">
        <f>19</f>
        <v>19</v>
      </c>
    </row>
    <row r="80" spans="1:24" x14ac:dyDescent="0.15">
      <c r="A80" s="25" t="s">
        <v>971</v>
      </c>
      <c r="B80" s="25" t="s">
        <v>273</v>
      </c>
      <c r="C80" s="25" t="s">
        <v>274</v>
      </c>
      <c r="D80" s="25" t="s">
        <v>275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40150</f>
        <v>40150</v>
      </c>
      <c r="L80" s="32" t="s">
        <v>909</v>
      </c>
      <c r="M80" s="31">
        <f>41050</f>
        <v>41050</v>
      </c>
      <c r="N80" s="32" t="s">
        <v>818</v>
      </c>
      <c r="O80" s="31">
        <f>38930</f>
        <v>38930</v>
      </c>
      <c r="P80" s="32" t="s">
        <v>816</v>
      </c>
      <c r="Q80" s="31">
        <f>40700</f>
        <v>40700</v>
      </c>
      <c r="R80" s="32" t="s">
        <v>818</v>
      </c>
      <c r="S80" s="33">
        <f>40055.79</f>
        <v>40055.79</v>
      </c>
      <c r="T80" s="30">
        <f>82973</f>
        <v>82973</v>
      </c>
      <c r="U80" s="30">
        <f>25534</f>
        <v>25534</v>
      </c>
      <c r="V80" s="30">
        <f>3313950608</f>
        <v>3313950608</v>
      </c>
      <c r="W80" s="30">
        <f>1016898688</f>
        <v>1016898688</v>
      </c>
      <c r="X80" s="34">
        <f>19</f>
        <v>19</v>
      </c>
    </row>
    <row r="81" spans="1:24" x14ac:dyDescent="0.15">
      <c r="A81" s="25" t="s">
        <v>971</v>
      </c>
      <c r="B81" s="25" t="s">
        <v>276</v>
      </c>
      <c r="C81" s="25" t="s">
        <v>277</v>
      </c>
      <c r="D81" s="25" t="s">
        <v>278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7655</f>
        <v>7655</v>
      </c>
      <c r="L81" s="32" t="s">
        <v>909</v>
      </c>
      <c r="M81" s="31">
        <f>7776</f>
        <v>7776</v>
      </c>
      <c r="N81" s="32" t="s">
        <v>905</v>
      </c>
      <c r="O81" s="31">
        <f>7655</f>
        <v>7655</v>
      </c>
      <c r="P81" s="32" t="s">
        <v>909</v>
      </c>
      <c r="Q81" s="31">
        <f>7776</f>
        <v>7776</v>
      </c>
      <c r="R81" s="32" t="s">
        <v>905</v>
      </c>
      <c r="S81" s="33">
        <f>7715.5</f>
        <v>7715.5</v>
      </c>
      <c r="T81" s="30">
        <f>110</f>
        <v>110</v>
      </c>
      <c r="U81" s="30" t="str">
        <f>"－"</f>
        <v>－</v>
      </c>
      <c r="V81" s="30">
        <f>851730</f>
        <v>851730</v>
      </c>
      <c r="W81" s="30" t="str">
        <f>"－"</f>
        <v>－</v>
      </c>
      <c r="X81" s="34">
        <f>2</f>
        <v>2</v>
      </c>
    </row>
    <row r="82" spans="1:24" x14ac:dyDescent="0.15">
      <c r="A82" s="25" t="s">
        <v>971</v>
      </c>
      <c r="B82" s="25" t="s">
        <v>279</v>
      </c>
      <c r="C82" s="25" t="s">
        <v>280</v>
      </c>
      <c r="D82" s="25" t="s">
        <v>281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15150</f>
        <v>15150</v>
      </c>
      <c r="L82" s="32" t="s">
        <v>909</v>
      </c>
      <c r="M82" s="31">
        <f>15240</f>
        <v>15240</v>
      </c>
      <c r="N82" s="32" t="s">
        <v>80</v>
      </c>
      <c r="O82" s="31">
        <f>14680</f>
        <v>14680</v>
      </c>
      <c r="P82" s="32" t="s">
        <v>813</v>
      </c>
      <c r="Q82" s="31">
        <f>15155</f>
        <v>15155</v>
      </c>
      <c r="R82" s="32" t="s">
        <v>818</v>
      </c>
      <c r="S82" s="33">
        <f>14957.11</f>
        <v>14957.11</v>
      </c>
      <c r="T82" s="30">
        <f>144</f>
        <v>144</v>
      </c>
      <c r="U82" s="30" t="str">
        <f>"－"</f>
        <v>－</v>
      </c>
      <c r="V82" s="30">
        <f>2151980</f>
        <v>2151980</v>
      </c>
      <c r="W82" s="30" t="str">
        <f>"－"</f>
        <v>－</v>
      </c>
      <c r="X82" s="34">
        <f>19</f>
        <v>19</v>
      </c>
    </row>
    <row r="83" spans="1:24" x14ac:dyDescent="0.15">
      <c r="A83" s="25" t="s">
        <v>971</v>
      </c>
      <c r="B83" s="25" t="s">
        <v>282</v>
      </c>
      <c r="C83" s="25" t="s">
        <v>283</v>
      </c>
      <c r="D83" s="25" t="s">
        <v>284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15160</f>
        <v>15160</v>
      </c>
      <c r="L83" s="32" t="s">
        <v>909</v>
      </c>
      <c r="M83" s="31">
        <f>15230</f>
        <v>15230</v>
      </c>
      <c r="N83" s="32" t="s">
        <v>934</v>
      </c>
      <c r="O83" s="31">
        <f>14425</f>
        <v>14425</v>
      </c>
      <c r="P83" s="32" t="s">
        <v>813</v>
      </c>
      <c r="Q83" s="31">
        <f>15110</f>
        <v>15110</v>
      </c>
      <c r="R83" s="32" t="s">
        <v>818</v>
      </c>
      <c r="S83" s="33">
        <f>14885.79</f>
        <v>14885.79</v>
      </c>
      <c r="T83" s="30">
        <f>5968</f>
        <v>5968</v>
      </c>
      <c r="U83" s="30" t="str">
        <f>"－"</f>
        <v>－</v>
      </c>
      <c r="V83" s="30">
        <f>88102690</f>
        <v>88102690</v>
      </c>
      <c r="W83" s="30" t="str">
        <f>"－"</f>
        <v>－</v>
      </c>
      <c r="X83" s="34">
        <f>19</f>
        <v>19</v>
      </c>
    </row>
    <row r="84" spans="1:24" x14ac:dyDescent="0.15">
      <c r="A84" s="25" t="s">
        <v>971</v>
      </c>
      <c r="B84" s="25" t="s">
        <v>285</v>
      </c>
      <c r="C84" s="25" t="s">
        <v>286</v>
      </c>
      <c r="D84" s="25" t="s">
        <v>287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19195</f>
        <v>19195</v>
      </c>
      <c r="L84" s="32" t="s">
        <v>909</v>
      </c>
      <c r="M84" s="31">
        <f>19760</f>
        <v>19760</v>
      </c>
      <c r="N84" s="32" t="s">
        <v>80</v>
      </c>
      <c r="O84" s="31">
        <f>19035</f>
        <v>19035</v>
      </c>
      <c r="P84" s="32" t="s">
        <v>816</v>
      </c>
      <c r="Q84" s="31">
        <f>19440</f>
        <v>19440</v>
      </c>
      <c r="R84" s="32" t="s">
        <v>818</v>
      </c>
      <c r="S84" s="33">
        <f>19411.05</f>
        <v>19411.05</v>
      </c>
      <c r="T84" s="30">
        <f>4741</f>
        <v>4741</v>
      </c>
      <c r="U84" s="30">
        <f>4</f>
        <v>4</v>
      </c>
      <c r="V84" s="30">
        <f>91730865</f>
        <v>91730865</v>
      </c>
      <c r="W84" s="30">
        <f>76700</f>
        <v>76700</v>
      </c>
      <c r="X84" s="34">
        <f>19</f>
        <v>19</v>
      </c>
    </row>
    <row r="85" spans="1:24" x14ac:dyDescent="0.15">
      <c r="A85" s="25" t="s">
        <v>971</v>
      </c>
      <c r="B85" s="25" t="s">
        <v>288</v>
      </c>
      <c r="C85" s="25" t="s">
        <v>289</v>
      </c>
      <c r="D85" s="25" t="s">
        <v>290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11550</f>
        <v>11550</v>
      </c>
      <c r="L85" s="32" t="s">
        <v>909</v>
      </c>
      <c r="M85" s="31">
        <f>11590</f>
        <v>11590</v>
      </c>
      <c r="N85" s="32" t="s">
        <v>80</v>
      </c>
      <c r="O85" s="31">
        <f>10680</f>
        <v>10680</v>
      </c>
      <c r="P85" s="32" t="s">
        <v>821</v>
      </c>
      <c r="Q85" s="31">
        <f>11150</f>
        <v>11150</v>
      </c>
      <c r="R85" s="32" t="s">
        <v>818</v>
      </c>
      <c r="S85" s="33">
        <f>11112.5</f>
        <v>11112.5</v>
      </c>
      <c r="T85" s="30">
        <f>16550</f>
        <v>16550</v>
      </c>
      <c r="U85" s="30">
        <f>10000</f>
        <v>10000</v>
      </c>
      <c r="V85" s="30">
        <f>187904750</f>
        <v>187904750</v>
      </c>
      <c r="W85" s="30">
        <f>115327000</f>
        <v>115327000</v>
      </c>
      <c r="X85" s="34">
        <f>18</f>
        <v>18</v>
      </c>
    </row>
    <row r="86" spans="1:24" x14ac:dyDescent="0.15">
      <c r="A86" s="25" t="s">
        <v>971</v>
      </c>
      <c r="B86" s="25" t="s">
        <v>291</v>
      </c>
      <c r="C86" s="25" t="s">
        <v>292</v>
      </c>
      <c r="D86" s="25" t="s">
        <v>293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2167</f>
        <v>2167</v>
      </c>
      <c r="L86" s="32" t="s">
        <v>909</v>
      </c>
      <c r="M86" s="31">
        <f>2211</f>
        <v>2211</v>
      </c>
      <c r="N86" s="32" t="s">
        <v>812</v>
      </c>
      <c r="O86" s="31">
        <f>2113</f>
        <v>2113</v>
      </c>
      <c r="P86" s="32" t="s">
        <v>911</v>
      </c>
      <c r="Q86" s="31">
        <f>2190</f>
        <v>2190</v>
      </c>
      <c r="R86" s="32" t="s">
        <v>818</v>
      </c>
      <c r="S86" s="33">
        <f>2154.89</f>
        <v>2154.89</v>
      </c>
      <c r="T86" s="30">
        <f>114329</f>
        <v>114329</v>
      </c>
      <c r="U86" s="30">
        <f>47101</f>
        <v>47101</v>
      </c>
      <c r="V86" s="30">
        <f>244203482</f>
        <v>244203482</v>
      </c>
      <c r="W86" s="30">
        <f>99878876</f>
        <v>99878876</v>
      </c>
      <c r="X86" s="34">
        <f>19</f>
        <v>19</v>
      </c>
    </row>
    <row r="87" spans="1:24" x14ac:dyDescent="0.15">
      <c r="A87" s="25" t="s">
        <v>971</v>
      </c>
      <c r="B87" s="25" t="s">
        <v>294</v>
      </c>
      <c r="C87" s="25" t="s">
        <v>295</v>
      </c>
      <c r="D87" s="25" t="s">
        <v>296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2114</f>
        <v>2114</v>
      </c>
      <c r="L87" s="32" t="s">
        <v>909</v>
      </c>
      <c r="M87" s="31">
        <f>2158</f>
        <v>2158</v>
      </c>
      <c r="N87" s="32" t="s">
        <v>818</v>
      </c>
      <c r="O87" s="31">
        <f>2040</f>
        <v>2040</v>
      </c>
      <c r="P87" s="32" t="s">
        <v>816</v>
      </c>
      <c r="Q87" s="31">
        <f>2149</f>
        <v>2149</v>
      </c>
      <c r="R87" s="32" t="s">
        <v>818</v>
      </c>
      <c r="S87" s="33">
        <f>2081.89</f>
        <v>2081.89</v>
      </c>
      <c r="T87" s="30">
        <f>126835</f>
        <v>126835</v>
      </c>
      <c r="U87" s="30">
        <f>9</f>
        <v>9</v>
      </c>
      <c r="V87" s="30">
        <f>264095092</f>
        <v>264095092</v>
      </c>
      <c r="W87" s="30">
        <f>17812</f>
        <v>17812</v>
      </c>
      <c r="X87" s="34">
        <f>19</f>
        <v>19</v>
      </c>
    </row>
    <row r="88" spans="1:24" x14ac:dyDescent="0.15">
      <c r="A88" s="25" t="s">
        <v>971</v>
      </c>
      <c r="B88" s="25" t="s">
        <v>297</v>
      </c>
      <c r="C88" s="25" t="s">
        <v>298</v>
      </c>
      <c r="D88" s="25" t="s">
        <v>299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14660</f>
        <v>14660</v>
      </c>
      <c r="L88" s="32" t="s">
        <v>909</v>
      </c>
      <c r="M88" s="31">
        <f>14915</f>
        <v>14915</v>
      </c>
      <c r="N88" s="32" t="s">
        <v>934</v>
      </c>
      <c r="O88" s="31">
        <f>14140</f>
        <v>14140</v>
      </c>
      <c r="P88" s="32" t="s">
        <v>813</v>
      </c>
      <c r="Q88" s="31">
        <f>14835</f>
        <v>14835</v>
      </c>
      <c r="R88" s="32" t="s">
        <v>818</v>
      </c>
      <c r="S88" s="33">
        <f>14538.16</f>
        <v>14538.16</v>
      </c>
      <c r="T88" s="30">
        <f>7900</f>
        <v>7900</v>
      </c>
      <c r="U88" s="30">
        <f>1500</f>
        <v>1500</v>
      </c>
      <c r="V88" s="30">
        <f>113116855</f>
        <v>113116855</v>
      </c>
      <c r="W88" s="30">
        <f>21392820</f>
        <v>21392820</v>
      </c>
      <c r="X88" s="34">
        <f>19</f>
        <v>19</v>
      </c>
    </row>
    <row r="89" spans="1:24" x14ac:dyDescent="0.15">
      <c r="A89" s="25" t="s">
        <v>971</v>
      </c>
      <c r="B89" s="25" t="s">
        <v>300</v>
      </c>
      <c r="C89" s="25" t="s">
        <v>301</v>
      </c>
      <c r="D89" s="25" t="s">
        <v>302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8701</f>
        <v>8701</v>
      </c>
      <c r="L89" s="32" t="s">
        <v>909</v>
      </c>
      <c r="M89" s="31">
        <f>9200</f>
        <v>9200</v>
      </c>
      <c r="N89" s="32" t="s">
        <v>87</v>
      </c>
      <c r="O89" s="31">
        <f>8600</f>
        <v>8600</v>
      </c>
      <c r="P89" s="32" t="s">
        <v>820</v>
      </c>
      <c r="Q89" s="31">
        <f>9030</f>
        <v>9030</v>
      </c>
      <c r="R89" s="32" t="s">
        <v>818</v>
      </c>
      <c r="S89" s="33">
        <f>8930.21</f>
        <v>8930.2099999999991</v>
      </c>
      <c r="T89" s="30">
        <f>1805</f>
        <v>1805</v>
      </c>
      <c r="U89" s="30" t="str">
        <f>"－"</f>
        <v>－</v>
      </c>
      <c r="V89" s="30">
        <f>16083395</f>
        <v>16083395</v>
      </c>
      <c r="W89" s="30" t="str">
        <f>"－"</f>
        <v>－</v>
      </c>
      <c r="X89" s="34">
        <f>19</f>
        <v>19</v>
      </c>
    </row>
    <row r="90" spans="1:24" x14ac:dyDescent="0.15">
      <c r="A90" s="25" t="s">
        <v>971</v>
      </c>
      <c r="B90" s="25" t="s">
        <v>303</v>
      </c>
      <c r="C90" s="25" t="s">
        <v>304</v>
      </c>
      <c r="D90" s="25" t="s">
        <v>305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7542</f>
        <v>7542</v>
      </c>
      <c r="L90" s="32" t="s">
        <v>909</v>
      </c>
      <c r="M90" s="31">
        <f>7551</f>
        <v>7551</v>
      </c>
      <c r="N90" s="32" t="s">
        <v>909</v>
      </c>
      <c r="O90" s="31">
        <f>7120</f>
        <v>7120</v>
      </c>
      <c r="P90" s="32" t="s">
        <v>816</v>
      </c>
      <c r="Q90" s="31">
        <f>7270</f>
        <v>7270</v>
      </c>
      <c r="R90" s="32" t="s">
        <v>818</v>
      </c>
      <c r="S90" s="33">
        <f>7290.05</f>
        <v>7290.05</v>
      </c>
      <c r="T90" s="30">
        <f>2190020</f>
        <v>2190020</v>
      </c>
      <c r="U90" s="30">
        <f>91684</f>
        <v>91684</v>
      </c>
      <c r="V90" s="30">
        <f>15985771115</f>
        <v>15985771115</v>
      </c>
      <c r="W90" s="30">
        <f>686465871</f>
        <v>686465871</v>
      </c>
      <c r="X90" s="34">
        <f>19</f>
        <v>19</v>
      </c>
    </row>
    <row r="91" spans="1:24" x14ac:dyDescent="0.15">
      <c r="A91" s="25" t="s">
        <v>971</v>
      </c>
      <c r="B91" s="25" t="s">
        <v>306</v>
      </c>
      <c r="C91" s="25" t="s">
        <v>307</v>
      </c>
      <c r="D91" s="25" t="s">
        <v>308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3670</f>
        <v>3670</v>
      </c>
      <c r="L91" s="32" t="s">
        <v>909</v>
      </c>
      <c r="M91" s="31">
        <f>3795</f>
        <v>3795</v>
      </c>
      <c r="N91" s="32" t="s">
        <v>80</v>
      </c>
      <c r="O91" s="31">
        <f>3560</f>
        <v>3560</v>
      </c>
      <c r="P91" s="32" t="s">
        <v>816</v>
      </c>
      <c r="Q91" s="31">
        <f>3680</f>
        <v>3680</v>
      </c>
      <c r="R91" s="32" t="s">
        <v>818</v>
      </c>
      <c r="S91" s="33">
        <f>3667.89</f>
        <v>3667.89</v>
      </c>
      <c r="T91" s="30">
        <f>547602</f>
        <v>547602</v>
      </c>
      <c r="U91" s="30" t="str">
        <f>"－"</f>
        <v>－</v>
      </c>
      <c r="V91" s="30">
        <f>2014895215</f>
        <v>2014895215</v>
      </c>
      <c r="W91" s="30" t="str">
        <f>"－"</f>
        <v>－</v>
      </c>
      <c r="X91" s="34">
        <f>19</f>
        <v>19</v>
      </c>
    </row>
    <row r="92" spans="1:24" x14ac:dyDescent="0.15">
      <c r="A92" s="25" t="s">
        <v>971</v>
      </c>
      <c r="B92" s="25" t="s">
        <v>309</v>
      </c>
      <c r="C92" s="25" t="s">
        <v>310</v>
      </c>
      <c r="D92" s="25" t="s">
        <v>311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8889</f>
        <v>8889</v>
      </c>
      <c r="L92" s="32" t="s">
        <v>909</v>
      </c>
      <c r="M92" s="31">
        <f>8907</f>
        <v>8907</v>
      </c>
      <c r="N92" s="32" t="s">
        <v>909</v>
      </c>
      <c r="O92" s="31">
        <f>8020</f>
        <v>8020</v>
      </c>
      <c r="P92" s="32" t="s">
        <v>56</v>
      </c>
      <c r="Q92" s="31">
        <f>8460</f>
        <v>8460</v>
      </c>
      <c r="R92" s="32" t="s">
        <v>818</v>
      </c>
      <c r="S92" s="33">
        <f>8464.26</f>
        <v>8464.26</v>
      </c>
      <c r="T92" s="30">
        <f>253540</f>
        <v>253540</v>
      </c>
      <c r="U92" s="30">
        <f>3000</f>
        <v>3000</v>
      </c>
      <c r="V92" s="30">
        <f>2148719686</f>
        <v>2148719686</v>
      </c>
      <c r="W92" s="30">
        <f>26100000</f>
        <v>26100000</v>
      </c>
      <c r="X92" s="34">
        <f>19</f>
        <v>19</v>
      </c>
    </row>
    <row r="93" spans="1:24" x14ac:dyDescent="0.15">
      <c r="A93" s="25" t="s">
        <v>971</v>
      </c>
      <c r="B93" s="25" t="s">
        <v>312</v>
      </c>
      <c r="C93" s="25" t="s">
        <v>313</v>
      </c>
      <c r="D93" s="25" t="s">
        <v>314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89030</f>
        <v>89030</v>
      </c>
      <c r="L93" s="32" t="s">
        <v>909</v>
      </c>
      <c r="M93" s="31">
        <f>89190</f>
        <v>89190</v>
      </c>
      <c r="N93" s="32" t="s">
        <v>909</v>
      </c>
      <c r="O93" s="31">
        <f>75020</f>
        <v>75020</v>
      </c>
      <c r="P93" s="32" t="s">
        <v>56</v>
      </c>
      <c r="Q93" s="31">
        <f>79400</f>
        <v>79400</v>
      </c>
      <c r="R93" s="32" t="s">
        <v>818</v>
      </c>
      <c r="S93" s="33">
        <f>79077.37</f>
        <v>79077.37</v>
      </c>
      <c r="T93" s="30">
        <f>9891</f>
        <v>9891</v>
      </c>
      <c r="U93" s="30">
        <f>14</f>
        <v>14</v>
      </c>
      <c r="V93" s="30">
        <f>784971570</f>
        <v>784971570</v>
      </c>
      <c r="W93" s="30">
        <f>1094310</f>
        <v>1094310</v>
      </c>
      <c r="X93" s="34">
        <f>19</f>
        <v>19</v>
      </c>
    </row>
    <row r="94" spans="1:24" x14ac:dyDescent="0.15">
      <c r="A94" s="25" t="s">
        <v>971</v>
      </c>
      <c r="B94" s="25" t="s">
        <v>315</v>
      </c>
      <c r="C94" s="25" t="s">
        <v>940</v>
      </c>
      <c r="D94" s="25" t="s">
        <v>941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17000</f>
        <v>17000</v>
      </c>
      <c r="L94" s="32" t="s">
        <v>909</v>
      </c>
      <c r="M94" s="31">
        <f>17165</f>
        <v>17165</v>
      </c>
      <c r="N94" s="32" t="s">
        <v>909</v>
      </c>
      <c r="O94" s="31">
        <f>15185</f>
        <v>15185</v>
      </c>
      <c r="P94" s="32" t="s">
        <v>815</v>
      </c>
      <c r="Q94" s="31">
        <f>16545</f>
        <v>16545</v>
      </c>
      <c r="R94" s="32" t="s">
        <v>818</v>
      </c>
      <c r="S94" s="33">
        <f>16080.26</f>
        <v>16080.26</v>
      </c>
      <c r="T94" s="30">
        <f>3262421</f>
        <v>3262421</v>
      </c>
      <c r="U94" s="30">
        <f>39002</f>
        <v>39002</v>
      </c>
      <c r="V94" s="30">
        <f>52378445735</f>
        <v>52378445735</v>
      </c>
      <c r="W94" s="30">
        <f>611628670</f>
        <v>611628670</v>
      </c>
      <c r="X94" s="34">
        <f>19</f>
        <v>19</v>
      </c>
    </row>
    <row r="95" spans="1:24" x14ac:dyDescent="0.15">
      <c r="A95" s="25" t="s">
        <v>971</v>
      </c>
      <c r="B95" s="25" t="s">
        <v>318</v>
      </c>
      <c r="C95" s="25" t="s">
        <v>942</v>
      </c>
      <c r="D95" s="25" t="s">
        <v>943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42100</f>
        <v>42100</v>
      </c>
      <c r="L95" s="32" t="s">
        <v>909</v>
      </c>
      <c r="M95" s="31">
        <f>42450</f>
        <v>42450</v>
      </c>
      <c r="N95" s="32" t="s">
        <v>909</v>
      </c>
      <c r="O95" s="31">
        <f>39250</f>
        <v>39250</v>
      </c>
      <c r="P95" s="32" t="s">
        <v>935</v>
      </c>
      <c r="Q95" s="31">
        <f>41770</f>
        <v>41770</v>
      </c>
      <c r="R95" s="32" t="s">
        <v>818</v>
      </c>
      <c r="S95" s="33">
        <f>40828.42</f>
        <v>40828.42</v>
      </c>
      <c r="T95" s="30">
        <f>257857</f>
        <v>257857</v>
      </c>
      <c r="U95" s="30">
        <f>5720</f>
        <v>5720</v>
      </c>
      <c r="V95" s="30">
        <f>10483985900</f>
        <v>10483985900</v>
      </c>
      <c r="W95" s="30">
        <f>242211740</f>
        <v>242211740</v>
      </c>
      <c r="X95" s="34">
        <f>19</f>
        <v>19</v>
      </c>
    </row>
    <row r="96" spans="1:24" x14ac:dyDescent="0.15">
      <c r="A96" s="25" t="s">
        <v>971</v>
      </c>
      <c r="B96" s="25" t="s">
        <v>321</v>
      </c>
      <c r="C96" s="25" t="s">
        <v>322</v>
      </c>
      <c r="D96" s="25" t="s">
        <v>323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5868</f>
        <v>5868</v>
      </c>
      <c r="L96" s="32" t="s">
        <v>909</v>
      </c>
      <c r="M96" s="31">
        <f>5895</f>
        <v>5895</v>
      </c>
      <c r="N96" s="32" t="s">
        <v>909</v>
      </c>
      <c r="O96" s="31">
        <f>5432</f>
        <v>5432</v>
      </c>
      <c r="P96" s="32" t="s">
        <v>935</v>
      </c>
      <c r="Q96" s="31">
        <f>5794</f>
        <v>5794</v>
      </c>
      <c r="R96" s="32" t="s">
        <v>818</v>
      </c>
      <c r="S96" s="33">
        <f>5636.58</f>
        <v>5636.58</v>
      </c>
      <c r="T96" s="30">
        <f>2174340</f>
        <v>2174340</v>
      </c>
      <c r="U96" s="30">
        <f>123700</f>
        <v>123700</v>
      </c>
      <c r="V96" s="30">
        <f>12237654660</f>
        <v>12237654660</v>
      </c>
      <c r="W96" s="30">
        <f>685823970</f>
        <v>685823970</v>
      </c>
      <c r="X96" s="34">
        <f>19</f>
        <v>19</v>
      </c>
    </row>
    <row r="97" spans="1:24" x14ac:dyDescent="0.15">
      <c r="A97" s="25" t="s">
        <v>971</v>
      </c>
      <c r="B97" s="25" t="s">
        <v>324</v>
      </c>
      <c r="C97" s="25" t="s">
        <v>325</v>
      </c>
      <c r="D97" s="25" t="s">
        <v>326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3756</f>
        <v>3756</v>
      </c>
      <c r="L97" s="32" t="s">
        <v>909</v>
      </c>
      <c r="M97" s="31">
        <f>3799</f>
        <v>3799</v>
      </c>
      <c r="N97" s="32" t="s">
        <v>909</v>
      </c>
      <c r="O97" s="31">
        <f>3450</f>
        <v>3450</v>
      </c>
      <c r="P97" s="32" t="s">
        <v>56</v>
      </c>
      <c r="Q97" s="31">
        <f>3746</f>
        <v>3746</v>
      </c>
      <c r="R97" s="32" t="s">
        <v>818</v>
      </c>
      <c r="S97" s="33">
        <f>3632.05</f>
        <v>3632.05</v>
      </c>
      <c r="T97" s="30">
        <f>119330</f>
        <v>119330</v>
      </c>
      <c r="U97" s="30">
        <f>10620</f>
        <v>10620</v>
      </c>
      <c r="V97" s="30">
        <f>432722220</f>
        <v>432722220</v>
      </c>
      <c r="W97" s="30">
        <f>39990490</f>
        <v>39990490</v>
      </c>
      <c r="X97" s="34">
        <f>19</f>
        <v>19</v>
      </c>
    </row>
    <row r="98" spans="1:24" x14ac:dyDescent="0.15">
      <c r="A98" s="25" t="s">
        <v>971</v>
      </c>
      <c r="B98" s="25" t="s">
        <v>327</v>
      </c>
      <c r="C98" s="25" t="s">
        <v>328</v>
      </c>
      <c r="D98" s="25" t="s">
        <v>329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4301</f>
        <v>4301</v>
      </c>
      <c r="L98" s="32" t="s">
        <v>909</v>
      </c>
      <c r="M98" s="31">
        <f>4429</f>
        <v>4429</v>
      </c>
      <c r="N98" s="32" t="s">
        <v>909</v>
      </c>
      <c r="O98" s="31">
        <f>4068</f>
        <v>4068</v>
      </c>
      <c r="P98" s="32" t="s">
        <v>56</v>
      </c>
      <c r="Q98" s="31">
        <f>4341</f>
        <v>4341</v>
      </c>
      <c r="R98" s="32" t="s">
        <v>818</v>
      </c>
      <c r="S98" s="33">
        <f>4229</f>
        <v>4229</v>
      </c>
      <c r="T98" s="30">
        <f>7600</f>
        <v>7600</v>
      </c>
      <c r="U98" s="30" t="str">
        <f>"－"</f>
        <v>－</v>
      </c>
      <c r="V98" s="30">
        <f>32151690</f>
        <v>32151690</v>
      </c>
      <c r="W98" s="30" t="str">
        <f>"－"</f>
        <v>－</v>
      </c>
      <c r="X98" s="34">
        <f>19</f>
        <v>19</v>
      </c>
    </row>
    <row r="99" spans="1:24" x14ac:dyDescent="0.15">
      <c r="A99" s="25" t="s">
        <v>971</v>
      </c>
      <c r="B99" s="25" t="s">
        <v>330</v>
      </c>
      <c r="C99" s="25" t="s">
        <v>331</v>
      </c>
      <c r="D99" s="25" t="s">
        <v>332</v>
      </c>
      <c r="E99" s="26" t="s">
        <v>45</v>
      </c>
      <c r="F99" s="27" t="s">
        <v>45</v>
      </c>
      <c r="G99" s="28" t="s">
        <v>45</v>
      </c>
      <c r="H99" s="29" t="s">
        <v>333</v>
      </c>
      <c r="I99" s="29" t="s">
        <v>46</v>
      </c>
      <c r="J99" s="30">
        <v>1</v>
      </c>
      <c r="K99" s="31">
        <f>2619</f>
        <v>2619</v>
      </c>
      <c r="L99" s="32" t="s">
        <v>909</v>
      </c>
      <c r="M99" s="31">
        <f>2855</f>
        <v>2855</v>
      </c>
      <c r="N99" s="32" t="s">
        <v>905</v>
      </c>
      <c r="O99" s="31">
        <f>2198</f>
        <v>2198</v>
      </c>
      <c r="P99" s="32" t="s">
        <v>934</v>
      </c>
      <c r="Q99" s="31">
        <f>2257</f>
        <v>2257</v>
      </c>
      <c r="R99" s="32" t="s">
        <v>818</v>
      </c>
      <c r="S99" s="33">
        <f>2471.68</f>
        <v>2471.6799999999998</v>
      </c>
      <c r="T99" s="30">
        <f>26659821</f>
        <v>26659821</v>
      </c>
      <c r="U99" s="30">
        <f>60328</f>
        <v>60328</v>
      </c>
      <c r="V99" s="30">
        <f>66744691411</f>
        <v>66744691411</v>
      </c>
      <c r="W99" s="30">
        <f>153876769</f>
        <v>153876769</v>
      </c>
      <c r="X99" s="34">
        <f>19</f>
        <v>19</v>
      </c>
    </row>
    <row r="100" spans="1:24" x14ac:dyDescent="0.15">
      <c r="A100" s="25" t="s">
        <v>971</v>
      </c>
      <c r="B100" s="25" t="s">
        <v>334</v>
      </c>
      <c r="C100" s="25" t="s">
        <v>335</v>
      </c>
      <c r="D100" s="25" t="s">
        <v>336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3159</f>
        <v>3159</v>
      </c>
      <c r="L100" s="32" t="s">
        <v>909</v>
      </c>
      <c r="M100" s="31">
        <f>3245</f>
        <v>3245</v>
      </c>
      <c r="N100" s="32" t="s">
        <v>80</v>
      </c>
      <c r="O100" s="31">
        <f>2971.5</f>
        <v>2971.5</v>
      </c>
      <c r="P100" s="32" t="s">
        <v>816</v>
      </c>
      <c r="Q100" s="31">
        <f>3162</f>
        <v>3162</v>
      </c>
      <c r="R100" s="32" t="s">
        <v>818</v>
      </c>
      <c r="S100" s="33">
        <f>3066.63</f>
        <v>3066.63</v>
      </c>
      <c r="T100" s="30">
        <f>151070</f>
        <v>151070</v>
      </c>
      <c r="U100" s="30" t="str">
        <f>"－"</f>
        <v>－</v>
      </c>
      <c r="V100" s="30">
        <f>463261555</f>
        <v>463261555</v>
      </c>
      <c r="W100" s="30" t="str">
        <f>"－"</f>
        <v>－</v>
      </c>
      <c r="X100" s="34">
        <f>19</f>
        <v>19</v>
      </c>
    </row>
    <row r="101" spans="1:24" x14ac:dyDescent="0.15">
      <c r="A101" s="25" t="s">
        <v>971</v>
      </c>
      <c r="B101" s="25" t="s">
        <v>337</v>
      </c>
      <c r="C101" s="25" t="s">
        <v>338</v>
      </c>
      <c r="D101" s="25" t="s">
        <v>339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1962</f>
        <v>1962</v>
      </c>
      <c r="L101" s="32" t="s">
        <v>909</v>
      </c>
      <c r="M101" s="31">
        <f>1963</f>
        <v>1963</v>
      </c>
      <c r="N101" s="32" t="s">
        <v>909</v>
      </c>
      <c r="O101" s="31">
        <f>1690</f>
        <v>1690</v>
      </c>
      <c r="P101" s="32" t="s">
        <v>813</v>
      </c>
      <c r="Q101" s="31">
        <f>1835</f>
        <v>1835</v>
      </c>
      <c r="R101" s="32" t="s">
        <v>818</v>
      </c>
      <c r="S101" s="33">
        <f>1786.61</f>
        <v>1786.61</v>
      </c>
      <c r="T101" s="30">
        <f>196790</f>
        <v>196790</v>
      </c>
      <c r="U101" s="30">
        <f>50020</f>
        <v>50020</v>
      </c>
      <c r="V101" s="30">
        <f>357188285</f>
        <v>357188285</v>
      </c>
      <c r="W101" s="30">
        <f>96405950</f>
        <v>96405950</v>
      </c>
      <c r="X101" s="34">
        <f>19</f>
        <v>19</v>
      </c>
    </row>
    <row r="102" spans="1:24" x14ac:dyDescent="0.15">
      <c r="A102" s="25" t="s">
        <v>971</v>
      </c>
      <c r="B102" s="25" t="s">
        <v>340</v>
      </c>
      <c r="C102" s="25" t="s">
        <v>341</v>
      </c>
      <c r="D102" s="25" t="s">
        <v>342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53660</f>
        <v>53660</v>
      </c>
      <c r="L102" s="32" t="s">
        <v>909</v>
      </c>
      <c r="M102" s="31">
        <f>54100</f>
        <v>54100</v>
      </c>
      <c r="N102" s="32" t="s">
        <v>80</v>
      </c>
      <c r="O102" s="31">
        <f>49870</f>
        <v>49870</v>
      </c>
      <c r="P102" s="32" t="s">
        <v>935</v>
      </c>
      <c r="Q102" s="31">
        <f>53180</f>
        <v>53180</v>
      </c>
      <c r="R102" s="32" t="s">
        <v>818</v>
      </c>
      <c r="S102" s="33">
        <f>51742.11</f>
        <v>51742.11</v>
      </c>
      <c r="T102" s="30">
        <f>317078</f>
        <v>317078</v>
      </c>
      <c r="U102" s="30" t="str">
        <f>"－"</f>
        <v>－</v>
      </c>
      <c r="V102" s="30">
        <f>16336960520</f>
        <v>16336960520</v>
      </c>
      <c r="W102" s="30" t="str">
        <f>"－"</f>
        <v>－</v>
      </c>
      <c r="X102" s="34">
        <f>19</f>
        <v>19</v>
      </c>
    </row>
    <row r="103" spans="1:24" x14ac:dyDescent="0.15">
      <c r="A103" s="25" t="s">
        <v>971</v>
      </c>
      <c r="B103" s="25" t="s">
        <v>343</v>
      </c>
      <c r="C103" s="25" t="s">
        <v>344</v>
      </c>
      <c r="D103" s="25" t="s">
        <v>345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3275</f>
        <v>3275</v>
      </c>
      <c r="L103" s="32" t="s">
        <v>909</v>
      </c>
      <c r="M103" s="31">
        <f>3485</f>
        <v>3485</v>
      </c>
      <c r="N103" s="32" t="s">
        <v>934</v>
      </c>
      <c r="O103" s="31">
        <f>3165</f>
        <v>3165</v>
      </c>
      <c r="P103" s="32" t="s">
        <v>905</v>
      </c>
      <c r="Q103" s="31">
        <f>3415</f>
        <v>3415</v>
      </c>
      <c r="R103" s="32" t="s">
        <v>818</v>
      </c>
      <c r="S103" s="33">
        <f>3315.53</f>
        <v>3315.53</v>
      </c>
      <c r="T103" s="30">
        <f>12393</f>
        <v>12393</v>
      </c>
      <c r="U103" s="30" t="str">
        <f>"－"</f>
        <v>－</v>
      </c>
      <c r="V103" s="30">
        <f>40826310</f>
        <v>40826310</v>
      </c>
      <c r="W103" s="30" t="str">
        <f>"－"</f>
        <v>－</v>
      </c>
      <c r="X103" s="34">
        <f>19</f>
        <v>19</v>
      </c>
    </row>
    <row r="104" spans="1:24" x14ac:dyDescent="0.15">
      <c r="A104" s="25" t="s">
        <v>971</v>
      </c>
      <c r="B104" s="25" t="s">
        <v>346</v>
      </c>
      <c r="C104" s="25" t="s">
        <v>347</v>
      </c>
      <c r="D104" s="25" t="s">
        <v>348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4495</f>
        <v>4495</v>
      </c>
      <c r="L104" s="32" t="s">
        <v>909</v>
      </c>
      <c r="M104" s="31">
        <f>4690</f>
        <v>4690</v>
      </c>
      <c r="N104" s="32" t="s">
        <v>80</v>
      </c>
      <c r="O104" s="31">
        <f>4255</f>
        <v>4255</v>
      </c>
      <c r="P104" s="32" t="s">
        <v>266</v>
      </c>
      <c r="Q104" s="31">
        <f>4365</f>
        <v>4365</v>
      </c>
      <c r="R104" s="32" t="s">
        <v>818</v>
      </c>
      <c r="S104" s="33">
        <f>4471.58</f>
        <v>4471.58</v>
      </c>
      <c r="T104" s="30">
        <f>5907</f>
        <v>5907</v>
      </c>
      <c r="U104" s="30" t="str">
        <f>"－"</f>
        <v>－</v>
      </c>
      <c r="V104" s="30">
        <f>26518230</f>
        <v>26518230</v>
      </c>
      <c r="W104" s="30" t="str">
        <f>"－"</f>
        <v>－</v>
      </c>
      <c r="X104" s="34">
        <f>19</f>
        <v>19</v>
      </c>
    </row>
    <row r="105" spans="1:24" x14ac:dyDescent="0.15">
      <c r="A105" s="25" t="s">
        <v>971</v>
      </c>
      <c r="B105" s="25" t="s">
        <v>349</v>
      </c>
      <c r="C105" s="25" t="s">
        <v>350</v>
      </c>
      <c r="D105" s="25" t="s">
        <v>351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2232</f>
        <v>2232</v>
      </c>
      <c r="L105" s="32" t="s">
        <v>909</v>
      </c>
      <c r="M105" s="31">
        <f>2318</f>
        <v>2318</v>
      </c>
      <c r="N105" s="32" t="s">
        <v>818</v>
      </c>
      <c r="O105" s="31">
        <f>1986</f>
        <v>1986</v>
      </c>
      <c r="P105" s="32" t="s">
        <v>905</v>
      </c>
      <c r="Q105" s="31">
        <f>2276</f>
        <v>2276</v>
      </c>
      <c r="R105" s="32" t="s">
        <v>818</v>
      </c>
      <c r="S105" s="33">
        <f>2195.89</f>
        <v>2195.89</v>
      </c>
      <c r="T105" s="30">
        <f>1536549</f>
        <v>1536549</v>
      </c>
      <c r="U105" s="30">
        <f>16</f>
        <v>16</v>
      </c>
      <c r="V105" s="30">
        <f>3339117535</f>
        <v>3339117535</v>
      </c>
      <c r="W105" s="30">
        <f>35761</f>
        <v>35761</v>
      </c>
      <c r="X105" s="34">
        <f>19</f>
        <v>19</v>
      </c>
    </row>
    <row r="106" spans="1:24" x14ac:dyDescent="0.15">
      <c r="A106" s="25" t="s">
        <v>971</v>
      </c>
      <c r="B106" s="25" t="s">
        <v>352</v>
      </c>
      <c r="C106" s="25" t="s">
        <v>353</v>
      </c>
      <c r="D106" s="25" t="s">
        <v>354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43000</f>
        <v>43000</v>
      </c>
      <c r="L106" s="32" t="s">
        <v>909</v>
      </c>
      <c r="M106" s="31">
        <f>43290</f>
        <v>43290</v>
      </c>
      <c r="N106" s="32" t="s">
        <v>909</v>
      </c>
      <c r="O106" s="31">
        <f>41800</f>
        <v>41800</v>
      </c>
      <c r="P106" s="32" t="s">
        <v>56</v>
      </c>
      <c r="Q106" s="31">
        <f>42730</f>
        <v>42730</v>
      </c>
      <c r="R106" s="32" t="s">
        <v>818</v>
      </c>
      <c r="S106" s="33">
        <f>42461.05</f>
        <v>42461.05</v>
      </c>
      <c r="T106" s="30">
        <f>9016</f>
        <v>9016</v>
      </c>
      <c r="U106" s="30">
        <f>2</f>
        <v>2</v>
      </c>
      <c r="V106" s="30">
        <f>383518640</f>
        <v>383518640</v>
      </c>
      <c r="W106" s="30">
        <f>83700</f>
        <v>83700</v>
      </c>
      <c r="X106" s="34">
        <f>19</f>
        <v>19</v>
      </c>
    </row>
    <row r="107" spans="1:24" x14ac:dyDescent="0.15">
      <c r="A107" s="25" t="s">
        <v>971</v>
      </c>
      <c r="B107" s="25" t="s">
        <v>355</v>
      </c>
      <c r="C107" s="25" t="s">
        <v>356</v>
      </c>
      <c r="D107" s="25" t="s">
        <v>357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23000</f>
        <v>23000</v>
      </c>
      <c r="L107" s="32" t="s">
        <v>909</v>
      </c>
      <c r="M107" s="31">
        <f>23620</f>
        <v>23620</v>
      </c>
      <c r="N107" s="32" t="s">
        <v>934</v>
      </c>
      <c r="O107" s="31">
        <f>21240</f>
        <v>21240</v>
      </c>
      <c r="P107" s="32" t="s">
        <v>813</v>
      </c>
      <c r="Q107" s="31">
        <f>23190</f>
        <v>23190</v>
      </c>
      <c r="R107" s="32" t="s">
        <v>818</v>
      </c>
      <c r="S107" s="33">
        <f>22477.37</f>
        <v>22477.37</v>
      </c>
      <c r="T107" s="30">
        <f>1933410</f>
        <v>1933410</v>
      </c>
      <c r="U107" s="30">
        <f>200</f>
        <v>200</v>
      </c>
      <c r="V107" s="30">
        <f>43527388350</f>
        <v>43527388350</v>
      </c>
      <c r="W107" s="30">
        <f>4517550</f>
        <v>4517550</v>
      </c>
      <c r="X107" s="34">
        <f>19</f>
        <v>19</v>
      </c>
    </row>
    <row r="108" spans="1:24" x14ac:dyDescent="0.15">
      <c r="A108" s="25" t="s">
        <v>971</v>
      </c>
      <c r="B108" s="25" t="s">
        <v>358</v>
      </c>
      <c r="C108" s="25" t="s">
        <v>359</v>
      </c>
      <c r="D108" s="25" t="s">
        <v>360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2147.5</f>
        <v>2147.5</v>
      </c>
      <c r="L108" s="32" t="s">
        <v>909</v>
      </c>
      <c r="M108" s="31">
        <f>2230.5</f>
        <v>2230.5</v>
      </c>
      <c r="N108" s="32" t="s">
        <v>813</v>
      </c>
      <c r="O108" s="31">
        <f>2110</f>
        <v>2110</v>
      </c>
      <c r="P108" s="32" t="s">
        <v>934</v>
      </c>
      <c r="Q108" s="31">
        <f>2127.5</f>
        <v>2127.5</v>
      </c>
      <c r="R108" s="32" t="s">
        <v>818</v>
      </c>
      <c r="S108" s="33">
        <f>2165.92</f>
        <v>2165.92</v>
      </c>
      <c r="T108" s="30">
        <f>101930</f>
        <v>101930</v>
      </c>
      <c r="U108" s="30" t="str">
        <f>"－"</f>
        <v>－</v>
      </c>
      <c r="V108" s="30">
        <f>220719975</f>
        <v>220719975</v>
      </c>
      <c r="W108" s="30" t="str">
        <f>"－"</f>
        <v>－</v>
      </c>
      <c r="X108" s="34">
        <f>19</f>
        <v>19</v>
      </c>
    </row>
    <row r="109" spans="1:24" x14ac:dyDescent="0.15">
      <c r="A109" s="25" t="s">
        <v>971</v>
      </c>
      <c r="B109" s="25" t="s">
        <v>361</v>
      </c>
      <c r="C109" s="25" t="s">
        <v>362</v>
      </c>
      <c r="D109" s="25" t="s">
        <v>363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13475</f>
        <v>13475</v>
      </c>
      <c r="L109" s="32" t="s">
        <v>909</v>
      </c>
      <c r="M109" s="31">
        <f>14185</f>
        <v>14185</v>
      </c>
      <c r="N109" s="32" t="s">
        <v>818</v>
      </c>
      <c r="O109" s="31">
        <f>12425</f>
        <v>12425</v>
      </c>
      <c r="P109" s="32" t="s">
        <v>813</v>
      </c>
      <c r="Q109" s="31">
        <f>13975</f>
        <v>13975</v>
      </c>
      <c r="R109" s="32" t="s">
        <v>818</v>
      </c>
      <c r="S109" s="33">
        <f>13375</f>
        <v>13375</v>
      </c>
      <c r="T109" s="30">
        <f>184038933</f>
        <v>184038933</v>
      </c>
      <c r="U109" s="30">
        <f>1012654</f>
        <v>1012654</v>
      </c>
      <c r="V109" s="30">
        <f>2453341813908</f>
        <v>2453341813908</v>
      </c>
      <c r="W109" s="30">
        <f>13907610543</f>
        <v>13907610543</v>
      </c>
      <c r="X109" s="34">
        <f>19</f>
        <v>19</v>
      </c>
    </row>
    <row r="110" spans="1:24" x14ac:dyDescent="0.15">
      <c r="A110" s="25" t="s">
        <v>971</v>
      </c>
      <c r="B110" s="25" t="s">
        <v>364</v>
      </c>
      <c r="C110" s="25" t="s">
        <v>365</v>
      </c>
      <c r="D110" s="25" t="s">
        <v>366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1025</f>
        <v>1025</v>
      </c>
      <c r="L110" s="32" t="s">
        <v>909</v>
      </c>
      <c r="M110" s="31">
        <f>1065</f>
        <v>1065</v>
      </c>
      <c r="N110" s="32" t="s">
        <v>813</v>
      </c>
      <c r="O110" s="31">
        <f>993</f>
        <v>993</v>
      </c>
      <c r="P110" s="32" t="s">
        <v>818</v>
      </c>
      <c r="Q110" s="31">
        <f>1000</f>
        <v>1000</v>
      </c>
      <c r="R110" s="32" t="s">
        <v>818</v>
      </c>
      <c r="S110" s="33">
        <f>1025.79</f>
        <v>1025.79</v>
      </c>
      <c r="T110" s="30">
        <f>52440603</f>
        <v>52440603</v>
      </c>
      <c r="U110" s="30">
        <f>4625000</f>
        <v>4625000</v>
      </c>
      <c r="V110" s="30">
        <f>53965046653</f>
        <v>53965046653</v>
      </c>
      <c r="W110" s="30">
        <f>4716733900</f>
        <v>4716733900</v>
      </c>
      <c r="X110" s="34">
        <f>19</f>
        <v>19</v>
      </c>
    </row>
    <row r="111" spans="1:24" x14ac:dyDescent="0.15">
      <c r="A111" s="25" t="s">
        <v>971</v>
      </c>
      <c r="B111" s="25" t="s">
        <v>367</v>
      </c>
      <c r="C111" s="25" t="s">
        <v>368</v>
      </c>
      <c r="D111" s="25" t="s">
        <v>369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5150</f>
        <v>5150</v>
      </c>
      <c r="L111" s="32" t="s">
        <v>909</v>
      </c>
      <c r="M111" s="31">
        <f>5820</f>
        <v>5820</v>
      </c>
      <c r="N111" s="32" t="s">
        <v>818</v>
      </c>
      <c r="O111" s="31">
        <f>4580</f>
        <v>4580</v>
      </c>
      <c r="P111" s="32" t="s">
        <v>905</v>
      </c>
      <c r="Q111" s="31">
        <f>5820</f>
        <v>5820</v>
      </c>
      <c r="R111" s="32" t="s">
        <v>818</v>
      </c>
      <c r="S111" s="33">
        <f>5129.32</f>
        <v>5129.32</v>
      </c>
      <c r="T111" s="30">
        <f>130940</f>
        <v>130940</v>
      </c>
      <c r="U111" s="30" t="str">
        <f>"－"</f>
        <v>－</v>
      </c>
      <c r="V111" s="30">
        <f>671218980</f>
        <v>671218980</v>
      </c>
      <c r="W111" s="30" t="str">
        <f>"－"</f>
        <v>－</v>
      </c>
      <c r="X111" s="34">
        <f>19</f>
        <v>19</v>
      </c>
    </row>
    <row r="112" spans="1:24" x14ac:dyDescent="0.15">
      <c r="A112" s="25" t="s">
        <v>971</v>
      </c>
      <c r="B112" s="25" t="s">
        <v>370</v>
      </c>
      <c r="C112" s="25" t="s">
        <v>371</v>
      </c>
      <c r="D112" s="25" t="s">
        <v>372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10795</f>
        <v>10795</v>
      </c>
      <c r="L112" s="32" t="s">
        <v>909</v>
      </c>
      <c r="M112" s="31">
        <f>11540</f>
        <v>11540</v>
      </c>
      <c r="N112" s="32" t="s">
        <v>905</v>
      </c>
      <c r="O112" s="31">
        <f>9910</f>
        <v>9910</v>
      </c>
      <c r="P112" s="32" t="s">
        <v>818</v>
      </c>
      <c r="Q112" s="31">
        <f>9910</f>
        <v>9910</v>
      </c>
      <c r="R112" s="32" t="s">
        <v>818</v>
      </c>
      <c r="S112" s="33">
        <f>10718.11</f>
        <v>10718.11</v>
      </c>
      <c r="T112" s="30">
        <f>24440</f>
        <v>24440</v>
      </c>
      <c r="U112" s="30" t="str">
        <f>"－"</f>
        <v>－</v>
      </c>
      <c r="V112" s="30">
        <f>262771220</f>
        <v>262771220</v>
      </c>
      <c r="W112" s="30" t="str">
        <f>"－"</f>
        <v>－</v>
      </c>
      <c r="X112" s="34">
        <f>19</f>
        <v>19</v>
      </c>
    </row>
    <row r="113" spans="1:24" x14ac:dyDescent="0.15">
      <c r="A113" s="25" t="s">
        <v>971</v>
      </c>
      <c r="B113" s="25" t="s">
        <v>373</v>
      </c>
      <c r="C113" s="25" t="s">
        <v>374</v>
      </c>
      <c r="D113" s="25" t="s">
        <v>375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705.1</f>
        <v>705.1</v>
      </c>
      <c r="L113" s="32" t="s">
        <v>909</v>
      </c>
      <c r="M113" s="31">
        <f>775</f>
        <v>775</v>
      </c>
      <c r="N113" s="32" t="s">
        <v>818</v>
      </c>
      <c r="O113" s="31">
        <f>705.1</f>
        <v>705.1</v>
      </c>
      <c r="P113" s="32" t="s">
        <v>909</v>
      </c>
      <c r="Q113" s="31">
        <f>775</f>
        <v>775</v>
      </c>
      <c r="R113" s="32" t="s">
        <v>818</v>
      </c>
      <c r="S113" s="33">
        <f>734.51</f>
        <v>734.51</v>
      </c>
      <c r="T113" s="30">
        <f>9910</f>
        <v>9910</v>
      </c>
      <c r="U113" s="30" t="str">
        <f>"－"</f>
        <v>－</v>
      </c>
      <c r="V113" s="30">
        <f>7273550</f>
        <v>7273550</v>
      </c>
      <c r="W113" s="30" t="str">
        <f>"－"</f>
        <v>－</v>
      </c>
      <c r="X113" s="34">
        <f>19</f>
        <v>19</v>
      </c>
    </row>
    <row r="114" spans="1:24" x14ac:dyDescent="0.15">
      <c r="A114" s="25" t="s">
        <v>971</v>
      </c>
      <c r="B114" s="25" t="s">
        <v>376</v>
      </c>
      <c r="C114" s="25" t="s">
        <v>377</v>
      </c>
      <c r="D114" s="25" t="s">
        <v>378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23650</f>
        <v>23650</v>
      </c>
      <c r="L114" s="32" t="s">
        <v>909</v>
      </c>
      <c r="M114" s="31">
        <f>24205</f>
        <v>24205</v>
      </c>
      <c r="N114" s="32" t="s">
        <v>911</v>
      </c>
      <c r="O114" s="31">
        <f>23140</f>
        <v>23140</v>
      </c>
      <c r="P114" s="32" t="s">
        <v>816</v>
      </c>
      <c r="Q114" s="31">
        <f>23930</f>
        <v>23930</v>
      </c>
      <c r="R114" s="32" t="s">
        <v>818</v>
      </c>
      <c r="S114" s="33">
        <f>23713.42</f>
        <v>23713.42</v>
      </c>
      <c r="T114" s="30">
        <f>36460</f>
        <v>36460</v>
      </c>
      <c r="U114" s="30">
        <f>17304</f>
        <v>17304</v>
      </c>
      <c r="V114" s="30">
        <f>864993160</f>
        <v>864993160</v>
      </c>
      <c r="W114" s="30">
        <f>411196015</f>
        <v>411196015</v>
      </c>
      <c r="X114" s="34">
        <f>19</f>
        <v>19</v>
      </c>
    </row>
    <row r="115" spans="1:24" x14ac:dyDescent="0.15">
      <c r="A115" s="25" t="s">
        <v>971</v>
      </c>
      <c r="B115" s="25" t="s">
        <v>379</v>
      </c>
      <c r="C115" s="25" t="s">
        <v>380</v>
      </c>
      <c r="D115" s="25" t="s">
        <v>381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2125</f>
        <v>2125</v>
      </c>
      <c r="L115" s="32" t="s">
        <v>909</v>
      </c>
      <c r="M115" s="31">
        <f>2200</f>
        <v>2200</v>
      </c>
      <c r="N115" s="32" t="s">
        <v>818</v>
      </c>
      <c r="O115" s="31">
        <f>2059</f>
        <v>2059</v>
      </c>
      <c r="P115" s="32" t="s">
        <v>813</v>
      </c>
      <c r="Q115" s="31">
        <f>2187</f>
        <v>2187</v>
      </c>
      <c r="R115" s="32" t="s">
        <v>818</v>
      </c>
      <c r="S115" s="33">
        <f>2133.74</f>
        <v>2133.7399999999998</v>
      </c>
      <c r="T115" s="30">
        <f>19979</f>
        <v>19979</v>
      </c>
      <c r="U115" s="30" t="str">
        <f>"－"</f>
        <v>－</v>
      </c>
      <c r="V115" s="30">
        <f>42485130</f>
        <v>42485130</v>
      </c>
      <c r="W115" s="30" t="str">
        <f>"－"</f>
        <v>－</v>
      </c>
      <c r="X115" s="34">
        <f>19</f>
        <v>19</v>
      </c>
    </row>
    <row r="116" spans="1:24" x14ac:dyDescent="0.15">
      <c r="A116" s="25" t="s">
        <v>971</v>
      </c>
      <c r="B116" s="25" t="s">
        <v>382</v>
      </c>
      <c r="C116" s="25" t="s">
        <v>383</v>
      </c>
      <c r="D116" s="25" t="s">
        <v>384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14420</f>
        <v>14420</v>
      </c>
      <c r="L116" s="32" t="s">
        <v>909</v>
      </c>
      <c r="M116" s="31">
        <f>15180</f>
        <v>15180</v>
      </c>
      <c r="N116" s="32" t="s">
        <v>818</v>
      </c>
      <c r="O116" s="31">
        <f>13295</f>
        <v>13295</v>
      </c>
      <c r="P116" s="32" t="s">
        <v>813</v>
      </c>
      <c r="Q116" s="31">
        <f>14960</f>
        <v>14960</v>
      </c>
      <c r="R116" s="32" t="s">
        <v>818</v>
      </c>
      <c r="S116" s="33">
        <f>14312.89</f>
        <v>14312.89</v>
      </c>
      <c r="T116" s="30">
        <f>20416420</f>
        <v>20416420</v>
      </c>
      <c r="U116" s="30">
        <f>230</f>
        <v>230</v>
      </c>
      <c r="V116" s="30">
        <f>291085995950</f>
        <v>291085995950</v>
      </c>
      <c r="W116" s="30">
        <f>3310800</f>
        <v>3310800</v>
      </c>
      <c r="X116" s="34">
        <f>19</f>
        <v>19</v>
      </c>
    </row>
    <row r="117" spans="1:24" x14ac:dyDescent="0.15">
      <c r="A117" s="25" t="s">
        <v>971</v>
      </c>
      <c r="B117" s="25" t="s">
        <v>385</v>
      </c>
      <c r="C117" s="25" t="s">
        <v>386</v>
      </c>
      <c r="D117" s="25" t="s">
        <v>387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2725</f>
        <v>2725</v>
      </c>
      <c r="L117" s="32" t="s">
        <v>909</v>
      </c>
      <c r="M117" s="31">
        <f>2830</f>
        <v>2830</v>
      </c>
      <c r="N117" s="32" t="s">
        <v>813</v>
      </c>
      <c r="O117" s="31">
        <f>2640</f>
        <v>2640</v>
      </c>
      <c r="P117" s="32" t="s">
        <v>818</v>
      </c>
      <c r="Q117" s="31">
        <f>2657.5</f>
        <v>2657.5</v>
      </c>
      <c r="R117" s="32" t="s">
        <v>818</v>
      </c>
      <c r="S117" s="33">
        <f>2726.29</f>
        <v>2726.29</v>
      </c>
      <c r="T117" s="30">
        <f>605570</f>
        <v>605570</v>
      </c>
      <c r="U117" s="30">
        <f>50</f>
        <v>50</v>
      </c>
      <c r="V117" s="30">
        <f>1657693475</f>
        <v>1657693475</v>
      </c>
      <c r="W117" s="30">
        <f>133675</f>
        <v>133675</v>
      </c>
      <c r="X117" s="34">
        <f>19</f>
        <v>19</v>
      </c>
    </row>
    <row r="118" spans="1:24" x14ac:dyDescent="0.15">
      <c r="A118" s="25" t="s">
        <v>971</v>
      </c>
      <c r="B118" s="25" t="s">
        <v>388</v>
      </c>
      <c r="C118" s="25" t="s">
        <v>389</v>
      </c>
      <c r="D118" s="25" t="s">
        <v>390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920.3</f>
        <v>920.3</v>
      </c>
      <c r="L118" s="32" t="s">
        <v>909</v>
      </c>
      <c r="M118" s="31">
        <f>930</f>
        <v>930</v>
      </c>
      <c r="N118" s="32" t="s">
        <v>80</v>
      </c>
      <c r="O118" s="31">
        <f>860.5</f>
        <v>860.5</v>
      </c>
      <c r="P118" s="32" t="s">
        <v>821</v>
      </c>
      <c r="Q118" s="31">
        <f>890.1</f>
        <v>890.1</v>
      </c>
      <c r="R118" s="32" t="s">
        <v>934</v>
      </c>
      <c r="S118" s="33">
        <f>897.05</f>
        <v>897.05</v>
      </c>
      <c r="T118" s="30">
        <f>640</f>
        <v>640</v>
      </c>
      <c r="U118" s="30" t="str">
        <f>"－"</f>
        <v>－</v>
      </c>
      <c r="V118" s="30">
        <f>567832</f>
        <v>567832</v>
      </c>
      <c r="W118" s="30" t="str">
        <f>"－"</f>
        <v>－</v>
      </c>
      <c r="X118" s="34">
        <f>10</f>
        <v>10</v>
      </c>
    </row>
    <row r="119" spans="1:24" x14ac:dyDescent="0.15">
      <c r="A119" s="25" t="s">
        <v>971</v>
      </c>
      <c r="B119" s="25" t="s">
        <v>391</v>
      </c>
      <c r="C119" s="25" t="s">
        <v>392</v>
      </c>
      <c r="D119" s="25" t="s">
        <v>393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1504</f>
        <v>1504</v>
      </c>
      <c r="L119" s="32" t="s">
        <v>909</v>
      </c>
      <c r="M119" s="31">
        <f>1510</f>
        <v>1510</v>
      </c>
      <c r="N119" s="32" t="s">
        <v>934</v>
      </c>
      <c r="O119" s="31">
        <f>1480</f>
        <v>1480</v>
      </c>
      <c r="P119" s="32" t="s">
        <v>80</v>
      </c>
      <c r="Q119" s="31">
        <f>1510</f>
        <v>1510</v>
      </c>
      <c r="R119" s="32" t="s">
        <v>934</v>
      </c>
      <c r="S119" s="33">
        <f>1497.75</f>
        <v>1497.75</v>
      </c>
      <c r="T119" s="30">
        <f>2010</f>
        <v>2010</v>
      </c>
      <c r="U119" s="30" t="str">
        <f>"－"</f>
        <v>－</v>
      </c>
      <c r="V119" s="30">
        <f>3013370</f>
        <v>3013370</v>
      </c>
      <c r="W119" s="30" t="str">
        <f>"－"</f>
        <v>－</v>
      </c>
      <c r="X119" s="34">
        <f>4</f>
        <v>4</v>
      </c>
    </row>
    <row r="120" spans="1:24" x14ac:dyDescent="0.15">
      <c r="A120" s="25" t="s">
        <v>971</v>
      </c>
      <c r="B120" s="25" t="s">
        <v>394</v>
      </c>
      <c r="C120" s="25" t="s">
        <v>395</v>
      </c>
      <c r="D120" s="25" t="s">
        <v>396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1645</f>
        <v>1645</v>
      </c>
      <c r="L120" s="32" t="s">
        <v>909</v>
      </c>
      <c r="M120" s="31">
        <f>1650</f>
        <v>1650</v>
      </c>
      <c r="N120" s="32" t="s">
        <v>911</v>
      </c>
      <c r="O120" s="31">
        <f>1577</f>
        <v>1577</v>
      </c>
      <c r="P120" s="32" t="s">
        <v>813</v>
      </c>
      <c r="Q120" s="31">
        <f>1631</f>
        <v>1631</v>
      </c>
      <c r="R120" s="32" t="s">
        <v>818</v>
      </c>
      <c r="S120" s="33">
        <f>1615.63</f>
        <v>1615.63</v>
      </c>
      <c r="T120" s="30">
        <f>5577</f>
        <v>5577</v>
      </c>
      <c r="U120" s="30" t="str">
        <f>"－"</f>
        <v>－</v>
      </c>
      <c r="V120" s="30">
        <f>9005430</f>
        <v>9005430</v>
      </c>
      <c r="W120" s="30" t="str">
        <f>"－"</f>
        <v>－</v>
      </c>
      <c r="X120" s="34">
        <f>19</f>
        <v>19</v>
      </c>
    </row>
    <row r="121" spans="1:24" x14ac:dyDescent="0.15">
      <c r="A121" s="25" t="s">
        <v>971</v>
      </c>
      <c r="B121" s="25" t="s">
        <v>397</v>
      </c>
      <c r="C121" s="25" t="s">
        <v>398</v>
      </c>
      <c r="D121" s="25" t="s">
        <v>399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17100</f>
        <v>17100</v>
      </c>
      <c r="L121" s="32" t="s">
        <v>909</v>
      </c>
      <c r="M121" s="31">
        <f>17415</f>
        <v>17415</v>
      </c>
      <c r="N121" s="32" t="s">
        <v>818</v>
      </c>
      <c r="O121" s="31">
        <f>16525</f>
        <v>16525</v>
      </c>
      <c r="P121" s="32" t="s">
        <v>813</v>
      </c>
      <c r="Q121" s="31">
        <f>17250</f>
        <v>17250</v>
      </c>
      <c r="R121" s="32" t="s">
        <v>818</v>
      </c>
      <c r="S121" s="33">
        <f>16985.79</f>
        <v>16985.79</v>
      </c>
      <c r="T121" s="30">
        <f>165872</f>
        <v>165872</v>
      </c>
      <c r="U121" s="30">
        <f>142702</f>
        <v>142702</v>
      </c>
      <c r="V121" s="30">
        <f>2816801995</f>
        <v>2816801995</v>
      </c>
      <c r="W121" s="30">
        <f>2424278440</f>
        <v>2424278440</v>
      </c>
      <c r="X121" s="34">
        <f>19</f>
        <v>19</v>
      </c>
    </row>
    <row r="122" spans="1:24" x14ac:dyDescent="0.15">
      <c r="A122" s="25" t="s">
        <v>971</v>
      </c>
      <c r="B122" s="25" t="s">
        <v>400</v>
      </c>
      <c r="C122" s="25" t="s">
        <v>401</v>
      </c>
      <c r="D122" s="25" t="s">
        <v>402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1571</f>
        <v>1571</v>
      </c>
      <c r="L122" s="32" t="s">
        <v>909</v>
      </c>
      <c r="M122" s="31">
        <f>1624</f>
        <v>1624</v>
      </c>
      <c r="N122" s="32" t="s">
        <v>935</v>
      </c>
      <c r="O122" s="31">
        <f>1515</f>
        <v>1515</v>
      </c>
      <c r="P122" s="32" t="s">
        <v>813</v>
      </c>
      <c r="Q122" s="31">
        <f>1595</f>
        <v>1595</v>
      </c>
      <c r="R122" s="32" t="s">
        <v>818</v>
      </c>
      <c r="S122" s="33">
        <f>1567.79</f>
        <v>1567.79</v>
      </c>
      <c r="T122" s="30">
        <f>154309</f>
        <v>154309</v>
      </c>
      <c r="U122" s="30">
        <f>1</f>
        <v>1</v>
      </c>
      <c r="V122" s="30">
        <f>241597102</f>
        <v>241597102</v>
      </c>
      <c r="W122" s="30">
        <f>1575</f>
        <v>1575</v>
      </c>
      <c r="X122" s="34">
        <f>19</f>
        <v>19</v>
      </c>
    </row>
    <row r="123" spans="1:24" x14ac:dyDescent="0.15">
      <c r="A123" s="25" t="s">
        <v>971</v>
      </c>
      <c r="B123" s="25" t="s">
        <v>403</v>
      </c>
      <c r="C123" s="25" t="s">
        <v>404</v>
      </c>
      <c r="D123" s="25" t="s">
        <v>405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17780</f>
        <v>17780</v>
      </c>
      <c r="L123" s="32" t="s">
        <v>909</v>
      </c>
      <c r="M123" s="31">
        <f>17970</f>
        <v>17970</v>
      </c>
      <c r="N123" s="32" t="s">
        <v>934</v>
      </c>
      <c r="O123" s="31">
        <f>17055</f>
        <v>17055</v>
      </c>
      <c r="P123" s="32" t="s">
        <v>813</v>
      </c>
      <c r="Q123" s="31">
        <f>17830</f>
        <v>17830</v>
      </c>
      <c r="R123" s="32" t="s">
        <v>818</v>
      </c>
      <c r="S123" s="33">
        <f>17557.89</f>
        <v>17557.89</v>
      </c>
      <c r="T123" s="30">
        <f>13360</f>
        <v>13360</v>
      </c>
      <c r="U123" s="30">
        <f>1160</f>
        <v>1160</v>
      </c>
      <c r="V123" s="30">
        <f>233132389</f>
        <v>233132389</v>
      </c>
      <c r="W123" s="30">
        <f>19986684</f>
        <v>19986684</v>
      </c>
      <c r="X123" s="34">
        <f>19</f>
        <v>19</v>
      </c>
    </row>
    <row r="124" spans="1:24" x14ac:dyDescent="0.15">
      <c r="A124" s="25" t="s">
        <v>971</v>
      </c>
      <c r="B124" s="25" t="s">
        <v>406</v>
      </c>
      <c r="C124" s="25" t="s">
        <v>407</v>
      </c>
      <c r="D124" s="25" t="s">
        <v>408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2039.5</f>
        <v>2039.5</v>
      </c>
      <c r="L124" s="32" t="s">
        <v>909</v>
      </c>
      <c r="M124" s="31">
        <f>2040</f>
        <v>2040</v>
      </c>
      <c r="N124" s="32" t="s">
        <v>818</v>
      </c>
      <c r="O124" s="31">
        <f>1961.5</f>
        <v>1961.5</v>
      </c>
      <c r="P124" s="32" t="s">
        <v>821</v>
      </c>
      <c r="Q124" s="31">
        <f>2037</f>
        <v>2037</v>
      </c>
      <c r="R124" s="32" t="s">
        <v>818</v>
      </c>
      <c r="S124" s="33">
        <f>2010.95</f>
        <v>2010.95</v>
      </c>
      <c r="T124" s="30">
        <f>1041170</f>
        <v>1041170</v>
      </c>
      <c r="U124" s="30">
        <f>592520</f>
        <v>592520</v>
      </c>
      <c r="V124" s="30">
        <f>2083879830</f>
        <v>2083879830</v>
      </c>
      <c r="W124" s="30">
        <f>1183641090</f>
        <v>1183641090</v>
      </c>
      <c r="X124" s="34">
        <f>19</f>
        <v>19</v>
      </c>
    </row>
    <row r="125" spans="1:24" x14ac:dyDescent="0.15">
      <c r="A125" s="25" t="s">
        <v>971</v>
      </c>
      <c r="B125" s="25" t="s">
        <v>409</v>
      </c>
      <c r="C125" s="25" t="s">
        <v>410</v>
      </c>
      <c r="D125" s="25" t="s">
        <v>411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1665</f>
        <v>1665</v>
      </c>
      <c r="L125" s="32" t="s">
        <v>80</v>
      </c>
      <c r="M125" s="31">
        <f>1665</f>
        <v>1665</v>
      </c>
      <c r="N125" s="32" t="s">
        <v>80</v>
      </c>
      <c r="O125" s="31">
        <f>1599</f>
        <v>1599</v>
      </c>
      <c r="P125" s="32" t="s">
        <v>905</v>
      </c>
      <c r="Q125" s="31">
        <f>1665</f>
        <v>1665</v>
      </c>
      <c r="R125" s="32" t="s">
        <v>934</v>
      </c>
      <c r="S125" s="33">
        <f>1647.8</f>
        <v>1647.8</v>
      </c>
      <c r="T125" s="30">
        <f>260</f>
        <v>260</v>
      </c>
      <c r="U125" s="30" t="str">
        <f>"－"</f>
        <v>－</v>
      </c>
      <c r="V125" s="30">
        <f>430040</f>
        <v>430040</v>
      </c>
      <c r="W125" s="30" t="str">
        <f>"－"</f>
        <v>－</v>
      </c>
      <c r="X125" s="34">
        <f>5</f>
        <v>5</v>
      </c>
    </row>
    <row r="126" spans="1:24" x14ac:dyDescent="0.15">
      <c r="A126" s="25" t="s">
        <v>971</v>
      </c>
      <c r="B126" s="25" t="s">
        <v>412</v>
      </c>
      <c r="C126" s="25" t="s">
        <v>413</v>
      </c>
      <c r="D126" s="25" t="s">
        <v>414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2040</f>
        <v>2040</v>
      </c>
      <c r="L126" s="32" t="s">
        <v>909</v>
      </c>
      <c r="M126" s="31">
        <f>2057</f>
        <v>2057</v>
      </c>
      <c r="N126" s="32" t="s">
        <v>818</v>
      </c>
      <c r="O126" s="31">
        <f>1977</f>
        <v>1977</v>
      </c>
      <c r="P126" s="32" t="s">
        <v>813</v>
      </c>
      <c r="Q126" s="31">
        <f>2057</f>
        <v>2057</v>
      </c>
      <c r="R126" s="32" t="s">
        <v>818</v>
      </c>
      <c r="S126" s="33">
        <f>2029.18</f>
        <v>2029.18</v>
      </c>
      <c r="T126" s="30">
        <f>1002210</f>
        <v>1002210</v>
      </c>
      <c r="U126" s="30">
        <f>515420</f>
        <v>515420</v>
      </c>
      <c r="V126" s="30">
        <f>2029635649</f>
        <v>2029635649</v>
      </c>
      <c r="W126" s="30">
        <f>1046357394</f>
        <v>1046357394</v>
      </c>
      <c r="X126" s="34">
        <f>19</f>
        <v>19</v>
      </c>
    </row>
    <row r="127" spans="1:24" x14ac:dyDescent="0.15">
      <c r="A127" s="25" t="s">
        <v>971</v>
      </c>
      <c r="B127" s="25" t="s">
        <v>415</v>
      </c>
      <c r="C127" s="25" t="s">
        <v>416</v>
      </c>
      <c r="D127" s="25" t="s">
        <v>417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17615</f>
        <v>17615</v>
      </c>
      <c r="L127" s="32" t="s">
        <v>909</v>
      </c>
      <c r="M127" s="31">
        <f>17695</f>
        <v>17695</v>
      </c>
      <c r="N127" s="32" t="s">
        <v>934</v>
      </c>
      <c r="O127" s="31">
        <f>16895</f>
        <v>16895</v>
      </c>
      <c r="P127" s="32" t="s">
        <v>813</v>
      </c>
      <c r="Q127" s="31">
        <f>17640</f>
        <v>17640</v>
      </c>
      <c r="R127" s="32" t="s">
        <v>818</v>
      </c>
      <c r="S127" s="33">
        <f>17351.43</f>
        <v>17351.43</v>
      </c>
      <c r="T127" s="30">
        <f>819</f>
        <v>819</v>
      </c>
      <c r="U127" s="30" t="str">
        <f>"－"</f>
        <v>－</v>
      </c>
      <c r="V127" s="30">
        <f>14305680</f>
        <v>14305680</v>
      </c>
      <c r="W127" s="30" t="str">
        <f>"－"</f>
        <v>－</v>
      </c>
      <c r="X127" s="34">
        <f>14</f>
        <v>14</v>
      </c>
    </row>
    <row r="128" spans="1:24" x14ac:dyDescent="0.15">
      <c r="A128" s="25" t="s">
        <v>971</v>
      </c>
      <c r="B128" s="25" t="s">
        <v>418</v>
      </c>
      <c r="C128" s="25" t="s">
        <v>419</v>
      </c>
      <c r="D128" s="25" t="s">
        <v>420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100</v>
      </c>
      <c r="K128" s="31">
        <f>168.1</f>
        <v>168.1</v>
      </c>
      <c r="L128" s="32" t="s">
        <v>909</v>
      </c>
      <c r="M128" s="31">
        <f>174</f>
        <v>174</v>
      </c>
      <c r="N128" s="32" t="s">
        <v>80</v>
      </c>
      <c r="O128" s="31">
        <f>160.7</f>
        <v>160.69999999999999</v>
      </c>
      <c r="P128" s="32" t="s">
        <v>816</v>
      </c>
      <c r="Q128" s="31">
        <f>164.7</f>
        <v>164.7</v>
      </c>
      <c r="R128" s="32" t="s">
        <v>818</v>
      </c>
      <c r="S128" s="33">
        <f>166.1</f>
        <v>166.1</v>
      </c>
      <c r="T128" s="30">
        <f>16223900</f>
        <v>16223900</v>
      </c>
      <c r="U128" s="30">
        <f>771800</f>
        <v>771800</v>
      </c>
      <c r="V128" s="30">
        <f>2698216313</f>
        <v>2698216313</v>
      </c>
      <c r="W128" s="30">
        <f>129881743</f>
        <v>129881743</v>
      </c>
      <c r="X128" s="34">
        <f>19</f>
        <v>19</v>
      </c>
    </row>
    <row r="129" spans="1:24" x14ac:dyDescent="0.15">
      <c r="A129" s="25" t="s">
        <v>971</v>
      </c>
      <c r="B129" s="25" t="s">
        <v>421</v>
      </c>
      <c r="C129" s="25" t="s">
        <v>422</v>
      </c>
      <c r="D129" s="25" t="s">
        <v>423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28000</f>
        <v>28000</v>
      </c>
      <c r="L129" s="32" t="s">
        <v>909</v>
      </c>
      <c r="M129" s="31">
        <f>28145</f>
        <v>28145</v>
      </c>
      <c r="N129" s="32" t="s">
        <v>80</v>
      </c>
      <c r="O129" s="31">
        <f>26870</f>
        <v>26870</v>
      </c>
      <c r="P129" s="32" t="s">
        <v>816</v>
      </c>
      <c r="Q129" s="31">
        <f>27170</f>
        <v>27170</v>
      </c>
      <c r="R129" s="32" t="s">
        <v>818</v>
      </c>
      <c r="S129" s="33">
        <f>27384.21</f>
        <v>27384.21</v>
      </c>
      <c r="T129" s="30">
        <f>1918</f>
        <v>1918</v>
      </c>
      <c r="U129" s="30" t="str">
        <f>"－"</f>
        <v>－</v>
      </c>
      <c r="V129" s="30">
        <f>52559585</f>
        <v>52559585</v>
      </c>
      <c r="W129" s="30" t="str">
        <f>"－"</f>
        <v>－</v>
      </c>
      <c r="X129" s="34">
        <f>19</f>
        <v>19</v>
      </c>
    </row>
    <row r="130" spans="1:24" x14ac:dyDescent="0.15">
      <c r="A130" s="25" t="s">
        <v>971</v>
      </c>
      <c r="B130" s="25" t="s">
        <v>424</v>
      </c>
      <c r="C130" s="25" t="s">
        <v>425</v>
      </c>
      <c r="D130" s="25" t="s">
        <v>426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13450</f>
        <v>13450</v>
      </c>
      <c r="L130" s="32" t="s">
        <v>909</v>
      </c>
      <c r="M130" s="31">
        <f>14905</f>
        <v>14905</v>
      </c>
      <c r="N130" s="32" t="s">
        <v>818</v>
      </c>
      <c r="O130" s="31">
        <f>13040</f>
        <v>13040</v>
      </c>
      <c r="P130" s="32" t="s">
        <v>821</v>
      </c>
      <c r="Q130" s="31">
        <f>14830</f>
        <v>14830</v>
      </c>
      <c r="R130" s="32" t="s">
        <v>818</v>
      </c>
      <c r="S130" s="33">
        <f>13988.68</f>
        <v>13988.68</v>
      </c>
      <c r="T130" s="30">
        <f>33903</f>
        <v>33903</v>
      </c>
      <c r="U130" s="30">
        <f>6</f>
        <v>6</v>
      </c>
      <c r="V130" s="30">
        <f>476884605</f>
        <v>476884605</v>
      </c>
      <c r="W130" s="30">
        <f>87540</f>
        <v>87540</v>
      </c>
      <c r="X130" s="34">
        <f>19</f>
        <v>19</v>
      </c>
    </row>
    <row r="131" spans="1:24" x14ac:dyDescent="0.15">
      <c r="A131" s="25" t="s">
        <v>971</v>
      </c>
      <c r="B131" s="25" t="s">
        <v>427</v>
      </c>
      <c r="C131" s="25" t="s">
        <v>428</v>
      </c>
      <c r="D131" s="25" t="s">
        <v>429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20835</f>
        <v>20835</v>
      </c>
      <c r="L131" s="32" t="s">
        <v>909</v>
      </c>
      <c r="M131" s="31">
        <f>21140</f>
        <v>21140</v>
      </c>
      <c r="N131" s="32" t="s">
        <v>906</v>
      </c>
      <c r="O131" s="31">
        <f>20015</f>
        <v>20015</v>
      </c>
      <c r="P131" s="32" t="s">
        <v>813</v>
      </c>
      <c r="Q131" s="31">
        <f>20960</f>
        <v>20960</v>
      </c>
      <c r="R131" s="32" t="s">
        <v>818</v>
      </c>
      <c r="S131" s="33">
        <f>20743.42</f>
        <v>20743.419999999998</v>
      </c>
      <c r="T131" s="30">
        <f>576</f>
        <v>576</v>
      </c>
      <c r="U131" s="30" t="str">
        <f>"－"</f>
        <v>－</v>
      </c>
      <c r="V131" s="30">
        <f>11939535</f>
        <v>11939535</v>
      </c>
      <c r="W131" s="30" t="str">
        <f>"－"</f>
        <v>－</v>
      </c>
      <c r="X131" s="34">
        <f>19</f>
        <v>19</v>
      </c>
    </row>
    <row r="132" spans="1:24" x14ac:dyDescent="0.15">
      <c r="A132" s="25" t="s">
        <v>971</v>
      </c>
      <c r="B132" s="25" t="s">
        <v>430</v>
      </c>
      <c r="C132" s="25" t="s">
        <v>431</v>
      </c>
      <c r="D132" s="25" t="s">
        <v>432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25070</f>
        <v>25070</v>
      </c>
      <c r="L132" s="32" t="s">
        <v>909</v>
      </c>
      <c r="M132" s="31">
        <f>25070</f>
        <v>25070</v>
      </c>
      <c r="N132" s="32" t="s">
        <v>909</v>
      </c>
      <c r="O132" s="31">
        <f>23920</f>
        <v>23920</v>
      </c>
      <c r="P132" s="32" t="s">
        <v>816</v>
      </c>
      <c r="Q132" s="31">
        <f>24740</f>
        <v>24740</v>
      </c>
      <c r="R132" s="32" t="s">
        <v>818</v>
      </c>
      <c r="S132" s="33">
        <f>24435.79</f>
        <v>24435.79</v>
      </c>
      <c r="T132" s="30">
        <f>527</f>
        <v>527</v>
      </c>
      <c r="U132" s="30" t="str">
        <f>"－"</f>
        <v>－</v>
      </c>
      <c r="V132" s="30">
        <f>12854510</f>
        <v>12854510</v>
      </c>
      <c r="W132" s="30" t="str">
        <f>"－"</f>
        <v>－</v>
      </c>
      <c r="X132" s="34">
        <f>19</f>
        <v>19</v>
      </c>
    </row>
    <row r="133" spans="1:24" x14ac:dyDescent="0.15">
      <c r="A133" s="25" t="s">
        <v>971</v>
      </c>
      <c r="B133" s="25" t="s">
        <v>433</v>
      </c>
      <c r="C133" s="25" t="s">
        <v>434</v>
      </c>
      <c r="D133" s="25" t="s">
        <v>435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23640</f>
        <v>23640</v>
      </c>
      <c r="L133" s="32" t="s">
        <v>909</v>
      </c>
      <c r="M133" s="31">
        <f>24140</f>
        <v>24140</v>
      </c>
      <c r="N133" s="32" t="s">
        <v>80</v>
      </c>
      <c r="O133" s="31">
        <f>22865</f>
        <v>22865</v>
      </c>
      <c r="P133" s="32" t="s">
        <v>813</v>
      </c>
      <c r="Q133" s="31">
        <f>23450</f>
        <v>23450</v>
      </c>
      <c r="R133" s="32" t="s">
        <v>818</v>
      </c>
      <c r="S133" s="33">
        <f>23478.68</f>
        <v>23478.68</v>
      </c>
      <c r="T133" s="30">
        <f>3348</f>
        <v>3348</v>
      </c>
      <c r="U133" s="30" t="str">
        <f>"－"</f>
        <v>－</v>
      </c>
      <c r="V133" s="30">
        <f>78521020</f>
        <v>78521020</v>
      </c>
      <c r="W133" s="30" t="str">
        <f>"－"</f>
        <v>－</v>
      </c>
      <c r="X133" s="34">
        <f>19</f>
        <v>19</v>
      </c>
    </row>
    <row r="134" spans="1:24" x14ac:dyDescent="0.15">
      <c r="A134" s="25" t="s">
        <v>971</v>
      </c>
      <c r="B134" s="25" t="s">
        <v>436</v>
      </c>
      <c r="C134" s="25" t="s">
        <v>437</v>
      </c>
      <c r="D134" s="25" t="s">
        <v>438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24415</f>
        <v>24415</v>
      </c>
      <c r="L134" s="32" t="s">
        <v>909</v>
      </c>
      <c r="M134" s="31">
        <f>24550</f>
        <v>24550</v>
      </c>
      <c r="N134" s="32" t="s">
        <v>80</v>
      </c>
      <c r="O134" s="31">
        <f>22400</f>
        <v>22400</v>
      </c>
      <c r="P134" s="32" t="s">
        <v>816</v>
      </c>
      <c r="Q134" s="31">
        <f>23630</f>
        <v>23630</v>
      </c>
      <c r="R134" s="32" t="s">
        <v>818</v>
      </c>
      <c r="S134" s="33">
        <f>23307.11</f>
        <v>23307.11</v>
      </c>
      <c r="T134" s="30">
        <f>16066</f>
        <v>16066</v>
      </c>
      <c r="U134" s="30">
        <f>2</f>
        <v>2</v>
      </c>
      <c r="V134" s="30">
        <f>375761165</f>
        <v>375761165</v>
      </c>
      <c r="W134" s="30">
        <f>46645</f>
        <v>46645</v>
      </c>
      <c r="X134" s="34">
        <f>19</f>
        <v>19</v>
      </c>
    </row>
    <row r="135" spans="1:24" x14ac:dyDescent="0.15">
      <c r="A135" s="25" t="s">
        <v>971</v>
      </c>
      <c r="B135" s="25" t="s">
        <v>439</v>
      </c>
      <c r="C135" s="25" t="s">
        <v>440</v>
      </c>
      <c r="D135" s="25" t="s">
        <v>441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17400</f>
        <v>17400</v>
      </c>
      <c r="L135" s="32" t="s">
        <v>909</v>
      </c>
      <c r="M135" s="31">
        <f>17785</f>
        <v>17785</v>
      </c>
      <c r="N135" s="32" t="s">
        <v>934</v>
      </c>
      <c r="O135" s="31">
        <f>16405</f>
        <v>16405</v>
      </c>
      <c r="P135" s="32" t="s">
        <v>821</v>
      </c>
      <c r="Q135" s="31">
        <f>17665</f>
        <v>17665</v>
      </c>
      <c r="R135" s="32" t="s">
        <v>818</v>
      </c>
      <c r="S135" s="33">
        <f>17112.63</f>
        <v>17112.63</v>
      </c>
      <c r="T135" s="30">
        <f>3082</f>
        <v>3082</v>
      </c>
      <c r="U135" s="30">
        <f>1</f>
        <v>1</v>
      </c>
      <c r="V135" s="30">
        <f>52783125</f>
        <v>52783125</v>
      </c>
      <c r="W135" s="30">
        <f>16200</f>
        <v>16200</v>
      </c>
      <c r="X135" s="34">
        <f>19</f>
        <v>19</v>
      </c>
    </row>
    <row r="136" spans="1:24" x14ac:dyDescent="0.15">
      <c r="A136" s="25" t="s">
        <v>971</v>
      </c>
      <c r="B136" s="25" t="s">
        <v>442</v>
      </c>
      <c r="C136" s="25" t="s">
        <v>443</v>
      </c>
      <c r="D136" s="25" t="s">
        <v>444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37840</f>
        <v>37840</v>
      </c>
      <c r="L136" s="32" t="s">
        <v>909</v>
      </c>
      <c r="M136" s="31">
        <f>39380</f>
        <v>39380</v>
      </c>
      <c r="N136" s="32" t="s">
        <v>934</v>
      </c>
      <c r="O136" s="31">
        <f>36430</f>
        <v>36430</v>
      </c>
      <c r="P136" s="32" t="s">
        <v>905</v>
      </c>
      <c r="Q136" s="31">
        <f>39380</f>
        <v>39380</v>
      </c>
      <c r="R136" s="32" t="s">
        <v>934</v>
      </c>
      <c r="S136" s="33">
        <f>38078.24</f>
        <v>38078.239999999998</v>
      </c>
      <c r="T136" s="30">
        <f>429</f>
        <v>429</v>
      </c>
      <c r="U136" s="30" t="str">
        <f>"－"</f>
        <v>－</v>
      </c>
      <c r="V136" s="30">
        <f>16391760</f>
        <v>16391760</v>
      </c>
      <c r="W136" s="30" t="str">
        <f>"－"</f>
        <v>－</v>
      </c>
      <c r="X136" s="34">
        <f>17</f>
        <v>17</v>
      </c>
    </row>
    <row r="137" spans="1:24" x14ac:dyDescent="0.15">
      <c r="A137" s="25" t="s">
        <v>971</v>
      </c>
      <c r="B137" s="25" t="s">
        <v>445</v>
      </c>
      <c r="C137" s="25" t="s">
        <v>446</v>
      </c>
      <c r="D137" s="25" t="s">
        <v>447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27065</f>
        <v>27065</v>
      </c>
      <c r="L137" s="32" t="s">
        <v>909</v>
      </c>
      <c r="M137" s="31">
        <f>28300</f>
        <v>28300</v>
      </c>
      <c r="N137" s="32" t="s">
        <v>934</v>
      </c>
      <c r="O137" s="31">
        <f>25900</f>
        <v>25900</v>
      </c>
      <c r="P137" s="32" t="s">
        <v>905</v>
      </c>
      <c r="Q137" s="31">
        <f>28175</f>
        <v>28175</v>
      </c>
      <c r="R137" s="32" t="s">
        <v>818</v>
      </c>
      <c r="S137" s="33">
        <f>27175.26</f>
        <v>27175.26</v>
      </c>
      <c r="T137" s="30">
        <f>2306</f>
        <v>2306</v>
      </c>
      <c r="U137" s="30" t="str">
        <f>"－"</f>
        <v>－</v>
      </c>
      <c r="V137" s="30">
        <f>62563685</f>
        <v>62563685</v>
      </c>
      <c r="W137" s="30" t="str">
        <f>"－"</f>
        <v>－</v>
      </c>
      <c r="X137" s="34">
        <f>19</f>
        <v>19</v>
      </c>
    </row>
    <row r="138" spans="1:24" x14ac:dyDescent="0.15">
      <c r="A138" s="25" t="s">
        <v>971</v>
      </c>
      <c r="B138" s="25" t="s">
        <v>448</v>
      </c>
      <c r="C138" s="25" t="s">
        <v>449</v>
      </c>
      <c r="D138" s="25" t="s">
        <v>450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28825</f>
        <v>28825</v>
      </c>
      <c r="L138" s="32" t="s">
        <v>909</v>
      </c>
      <c r="M138" s="31">
        <f>28825</f>
        <v>28825</v>
      </c>
      <c r="N138" s="32" t="s">
        <v>909</v>
      </c>
      <c r="O138" s="31">
        <f>26640</f>
        <v>26640</v>
      </c>
      <c r="P138" s="32" t="s">
        <v>813</v>
      </c>
      <c r="Q138" s="31">
        <f>28370</f>
        <v>28370</v>
      </c>
      <c r="R138" s="32" t="s">
        <v>818</v>
      </c>
      <c r="S138" s="33">
        <f>27853.68</f>
        <v>27853.68</v>
      </c>
      <c r="T138" s="30">
        <f>2144</f>
        <v>2144</v>
      </c>
      <c r="U138" s="30">
        <f>1200</f>
        <v>1200</v>
      </c>
      <c r="V138" s="30">
        <f>59834254</f>
        <v>59834254</v>
      </c>
      <c r="W138" s="30">
        <f>33574854</f>
        <v>33574854</v>
      </c>
      <c r="X138" s="34">
        <f>19</f>
        <v>19</v>
      </c>
    </row>
    <row r="139" spans="1:24" x14ac:dyDescent="0.15">
      <c r="A139" s="25" t="s">
        <v>971</v>
      </c>
      <c r="B139" s="25" t="s">
        <v>451</v>
      </c>
      <c r="C139" s="25" t="s">
        <v>452</v>
      </c>
      <c r="D139" s="25" t="s">
        <v>453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6130</f>
        <v>6130</v>
      </c>
      <c r="L139" s="32" t="s">
        <v>909</v>
      </c>
      <c r="M139" s="31">
        <f>6539</f>
        <v>6539</v>
      </c>
      <c r="N139" s="32" t="s">
        <v>812</v>
      </c>
      <c r="O139" s="31">
        <f>5930</f>
        <v>5930</v>
      </c>
      <c r="P139" s="32" t="s">
        <v>909</v>
      </c>
      <c r="Q139" s="31">
        <f>6236</f>
        <v>6236</v>
      </c>
      <c r="R139" s="32" t="s">
        <v>818</v>
      </c>
      <c r="S139" s="33">
        <f>6366.21</f>
        <v>6366.21</v>
      </c>
      <c r="T139" s="30">
        <f>46307</f>
        <v>46307</v>
      </c>
      <c r="U139" s="30">
        <f>16502</f>
        <v>16502</v>
      </c>
      <c r="V139" s="30">
        <f>293322580</f>
        <v>293322580</v>
      </c>
      <c r="W139" s="30">
        <f>103398351</f>
        <v>103398351</v>
      </c>
      <c r="X139" s="34">
        <f>19</f>
        <v>19</v>
      </c>
    </row>
    <row r="140" spans="1:24" x14ac:dyDescent="0.15">
      <c r="A140" s="25" t="s">
        <v>971</v>
      </c>
      <c r="B140" s="25" t="s">
        <v>454</v>
      </c>
      <c r="C140" s="25" t="s">
        <v>455</v>
      </c>
      <c r="D140" s="25" t="s">
        <v>456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15055</f>
        <v>15055</v>
      </c>
      <c r="L140" s="32" t="s">
        <v>909</v>
      </c>
      <c r="M140" s="31">
        <f>15700</f>
        <v>15700</v>
      </c>
      <c r="N140" s="32" t="s">
        <v>934</v>
      </c>
      <c r="O140" s="31">
        <f>14865</f>
        <v>14865</v>
      </c>
      <c r="P140" s="32" t="s">
        <v>905</v>
      </c>
      <c r="Q140" s="31">
        <f>15490</f>
        <v>15490</v>
      </c>
      <c r="R140" s="32" t="s">
        <v>818</v>
      </c>
      <c r="S140" s="33">
        <f>15307.37</f>
        <v>15307.37</v>
      </c>
      <c r="T140" s="30">
        <f>8263</f>
        <v>8263</v>
      </c>
      <c r="U140" s="30">
        <f>3</f>
        <v>3</v>
      </c>
      <c r="V140" s="30">
        <f>126767780</f>
        <v>126767780</v>
      </c>
      <c r="W140" s="30">
        <f>46605</f>
        <v>46605</v>
      </c>
      <c r="X140" s="34">
        <f>19</f>
        <v>19</v>
      </c>
    </row>
    <row r="141" spans="1:24" x14ac:dyDescent="0.15">
      <c r="A141" s="25" t="s">
        <v>971</v>
      </c>
      <c r="B141" s="25" t="s">
        <v>457</v>
      </c>
      <c r="C141" s="25" t="s">
        <v>458</v>
      </c>
      <c r="D141" s="25" t="s">
        <v>459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46690</f>
        <v>46690</v>
      </c>
      <c r="L141" s="32" t="s">
        <v>909</v>
      </c>
      <c r="M141" s="31">
        <f>47890</f>
        <v>47890</v>
      </c>
      <c r="N141" s="32" t="s">
        <v>911</v>
      </c>
      <c r="O141" s="31">
        <f>43200</f>
        <v>43200</v>
      </c>
      <c r="P141" s="32" t="s">
        <v>821</v>
      </c>
      <c r="Q141" s="31">
        <f>45510</f>
        <v>45510</v>
      </c>
      <c r="R141" s="32" t="s">
        <v>818</v>
      </c>
      <c r="S141" s="33">
        <f>45027.37</f>
        <v>45027.37</v>
      </c>
      <c r="T141" s="30">
        <f>8430</f>
        <v>8430</v>
      </c>
      <c r="U141" s="30" t="str">
        <f>"－"</f>
        <v>－</v>
      </c>
      <c r="V141" s="30">
        <f>383970980</f>
        <v>383970980</v>
      </c>
      <c r="W141" s="30" t="str">
        <f>"－"</f>
        <v>－</v>
      </c>
      <c r="X141" s="34">
        <f>19</f>
        <v>19</v>
      </c>
    </row>
    <row r="142" spans="1:24" x14ac:dyDescent="0.15">
      <c r="A142" s="25" t="s">
        <v>971</v>
      </c>
      <c r="B142" s="25" t="s">
        <v>460</v>
      </c>
      <c r="C142" s="25" t="s">
        <v>461</v>
      </c>
      <c r="D142" s="25" t="s">
        <v>462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20830</f>
        <v>20830</v>
      </c>
      <c r="L142" s="32" t="s">
        <v>909</v>
      </c>
      <c r="M142" s="31">
        <f>20930</f>
        <v>20930</v>
      </c>
      <c r="N142" s="32" t="s">
        <v>911</v>
      </c>
      <c r="O142" s="31">
        <f>19835</f>
        <v>19835</v>
      </c>
      <c r="P142" s="32" t="s">
        <v>815</v>
      </c>
      <c r="Q142" s="31">
        <f>20500</f>
        <v>20500</v>
      </c>
      <c r="R142" s="32" t="s">
        <v>818</v>
      </c>
      <c r="S142" s="33">
        <f>20356.05</f>
        <v>20356.05</v>
      </c>
      <c r="T142" s="30">
        <f>1365</f>
        <v>1365</v>
      </c>
      <c r="U142" s="30" t="str">
        <f>"－"</f>
        <v>－</v>
      </c>
      <c r="V142" s="30">
        <f>27763215</f>
        <v>27763215</v>
      </c>
      <c r="W142" s="30" t="str">
        <f>"－"</f>
        <v>－</v>
      </c>
      <c r="X142" s="34">
        <f>19</f>
        <v>19</v>
      </c>
    </row>
    <row r="143" spans="1:24" x14ac:dyDescent="0.15">
      <c r="A143" s="25" t="s">
        <v>971</v>
      </c>
      <c r="B143" s="25" t="s">
        <v>463</v>
      </c>
      <c r="C143" s="25" t="s">
        <v>464</v>
      </c>
      <c r="D143" s="25" t="s">
        <v>465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8969</f>
        <v>8969</v>
      </c>
      <c r="L143" s="32" t="s">
        <v>909</v>
      </c>
      <c r="M143" s="31">
        <f>9113</f>
        <v>9113</v>
      </c>
      <c r="N143" s="32" t="s">
        <v>80</v>
      </c>
      <c r="O143" s="31">
        <f>8429</f>
        <v>8429</v>
      </c>
      <c r="P143" s="32" t="s">
        <v>816</v>
      </c>
      <c r="Q143" s="31">
        <f>8608</f>
        <v>8608</v>
      </c>
      <c r="R143" s="32" t="s">
        <v>818</v>
      </c>
      <c r="S143" s="33">
        <f>8697.32</f>
        <v>8697.32</v>
      </c>
      <c r="T143" s="30">
        <f>9307</f>
        <v>9307</v>
      </c>
      <c r="U143" s="30" t="str">
        <f>"－"</f>
        <v>－</v>
      </c>
      <c r="V143" s="30">
        <f>81039071</f>
        <v>81039071</v>
      </c>
      <c r="W143" s="30" t="str">
        <f>"－"</f>
        <v>－</v>
      </c>
      <c r="X143" s="34">
        <f>19</f>
        <v>19</v>
      </c>
    </row>
    <row r="144" spans="1:24" x14ac:dyDescent="0.15">
      <c r="A144" s="25" t="s">
        <v>971</v>
      </c>
      <c r="B144" s="25" t="s">
        <v>466</v>
      </c>
      <c r="C144" s="25" t="s">
        <v>467</v>
      </c>
      <c r="D144" s="25" t="s">
        <v>468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14760</f>
        <v>14760</v>
      </c>
      <c r="L144" s="32" t="s">
        <v>909</v>
      </c>
      <c r="M144" s="31">
        <f>15100</f>
        <v>15100</v>
      </c>
      <c r="N144" s="32" t="s">
        <v>818</v>
      </c>
      <c r="O144" s="31">
        <f>13860</f>
        <v>13860</v>
      </c>
      <c r="P144" s="32" t="s">
        <v>816</v>
      </c>
      <c r="Q144" s="31">
        <f>14995</f>
        <v>14995</v>
      </c>
      <c r="R144" s="32" t="s">
        <v>818</v>
      </c>
      <c r="S144" s="33">
        <f>14486.32</f>
        <v>14486.32</v>
      </c>
      <c r="T144" s="30">
        <f>6826</f>
        <v>6826</v>
      </c>
      <c r="U144" s="30">
        <f>3500</f>
        <v>3500</v>
      </c>
      <c r="V144" s="30">
        <f>99272465</f>
        <v>99272465</v>
      </c>
      <c r="W144" s="30">
        <f>51744000</f>
        <v>51744000</v>
      </c>
      <c r="X144" s="34">
        <f>19</f>
        <v>19</v>
      </c>
    </row>
    <row r="145" spans="1:24" x14ac:dyDescent="0.15">
      <c r="A145" s="25" t="s">
        <v>971</v>
      </c>
      <c r="B145" s="25" t="s">
        <v>469</v>
      </c>
      <c r="C145" s="25" t="s">
        <v>470</v>
      </c>
      <c r="D145" s="25" t="s">
        <v>471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30040</f>
        <v>30040</v>
      </c>
      <c r="L145" s="32" t="s">
        <v>909</v>
      </c>
      <c r="M145" s="31">
        <f>30870</f>
        <v>30870</v>
      </c>
      <c r="N145" s="32" t="s">
        <v>266</v>
      </c>
      <c r="O145" s="31">
        <f>28450</f>
        <v>28450</v>
      </c>
      <c r="P145" s="32" t="s">
        <v>816</v>
      </c>
      <c r="Q145" s="31">
        <f>30070</f>
        <v>30070</v>
      </c>
      <c r="R145" s="32" t="s">
        <v>818</v>
      </c>
      <c r="S145" s="33">
        <f>29491.94</f>
        <v>29491.94</v>
      </c>
      <c r="T145" s="30">
        <f>2674</f>
        <v>2674</v>
      </c>
      <c r="U145" s="30" t="str">
        <f>"－"</f>
        <v>－</v>
      </c>
      <c r="V145" s="30">
        <f>78042910</f>
        <v>78042910</v>
      </c>
      <c r="W145" s="30" t="str">
        <f>"－"</f>
        <v>－</v>
      </c>
      <c r="X145" s="34">
        <f>18</f>
        <v>18</v>
      </c>
    </row>
    <row r="146" spans="1:24" x14ac:dyDescent="0.15">
      <c r="A146" s="25" t="s">
        <v>971</v>
      </c>
      <c r="B146" s="25" t="s">
        <v>472</v>
      </c>
      <c r="C146" s="25" t="s">
        <v>473</v>
      </c>
      <c r="D146" s="25" t="s">
        <v>474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1241</f>
        <v>1241</v>
      </c>
      <c r="L146" s="32" t="s">
        <v>909</v>
      </c>
      <c r="M146" s="31">
        <f>1246</f>
        <v>1246</v>
      </c>
      <c r="N146" s="32" t="s">
        <v>80</v>
      </c>
      <c r="O146" s="31">
        <f>1166</f>
        <v>1166</v>
      </c>
      <c r="P146" s="32" t="s">
        <v>56</v>
      </c>
      <c r="Q146" s="31">
        <f>1211</f>
        <v>1211</v>
      </c>
      <c r="R146" s="32" t="s">
        <v>818</v>
      </c>
      <c r="S146" s="33">
        <f>1198</f>
        <v>1198</v>
      </c>
      <c r="T146" s="30">
        <f>810140</f>
        <v>810140</v>
      </c>
      <c r="U146" s="30">
        <f>242000</f>
        <v>242000</v>
      </c>
      <c r="V146" s="30">
        <f>972044660</f>
        <v>972044660</v>
      </c>
      <c r="W146" s="30">
        <f>290038000</f>
        <v>290038000</v>
      </c>
      <c r="X146" s="34">
        <f>19</f>
        <v>19</v>
      </c>
    </row>
    <row r="147" spans="1:24" x14ac:dyDescent="0.15">
      <c r="A147" s="25" t="s">
        <v>971</v>
      </c>
      <c r="B147" s="25" t="s">
        <v>475</v>
      </c>
      <c r="C147" s="25" t="s">
        <v>476</v>
      </c>
      <c r="D147" s="25" t="s">
        <v>477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2319</f>
        <v>2319</v>
      </c>
      <c r="L147" s="32" t="s">
        <v>909</v>
      </c>
      <c r="M147" s="31">
        <f>2348</f>
        <v>2348</v>
      </c>
      <c r="N147" s="32" t="s">
        <v>818</v>
      </c>
      <c r="O147" s="31">
        <f>2228.5</f>
        <v>2228.5</v>
      </c>
      <c r="P147" s="32" t="s">
        <v>813</v>
      </c>
      <c r="Q147" s="31">
        <f>2348</f>
        <v>2348</v>
      </c>
      <c r="R147" s="32" t="s">
        <v>818</v>
      </c>
      <c r="S147" s="33">
        <f>2291.92</f>
        <v>2291.92</v>
      </c>
      <c r="T147" s="30">
        <f>4640</f>
        <v>4640</v>
      </c>
      <c r="U147" s="30" t="str">
        <f>"－"</f>
        <v>－</v>
      </c>
      <c r="V147" s="30">
        <f>10562505</f>
        <v>10562505</v>
      </c>
      <c r="W147" s="30" t="str">
        <f>"－"</f>
        <v>－</v>
      </c>
      <c r="X147" s="34">
        <f>13</f>
        <v>13</v>
      </c>
    </row>
    <row r="148" spans="1:24" x14ac:dyDescent="0.15">
      <c r="A148" s="25" t="s">
        <v>971</v>
      </c>
      <c r="B148" s="25" t="s">
        <v>478</v>
      </c>
      <c r="C148" s="25" t="s">
        <v>479</v>
      </c>
      <c r="D148" s="25" t="s">
        <v>480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2472.5</f>
        <v>2472.5</v>
      </c>
      <c r="L148" s="32" t="s">
        <v>909</v>
      </c>
      <c r="M148" s="31">
        <f>2500</f>
        <v>2500</v>
      </c>
      <c r="N148" s="32" t="s">
        <v>934</v>
      </c>
      <c r="O148" s="31">
        <f>2387</f>
        <v>2387</v>
      </c>
      <c r="P148" s="32" t="s">
        <v>813</v>
      </c>
      <c r="Q148" s="31">
        <f>2500</f>
        <v>2500</v>
      </c>
      <c r="R148" s="32" t="s">
        <v>934</v>
      </c>
      <c r="S148" s="33">
        <f>2446.8</f>
        <v>2446.8000000000002</v>
      </c>
      <c r="T148" s="30">
        <f>14710</f>
        <v>14710</v>
      </c>
      <c r="U148" s="30" t="str">
        <f>"－"</f>
        <v>－</v>
      </c>
      <c r="V148" s="30">
        <f>35541500</f>
        <v>35541500</v>
      </c>
      <c r="W148" s="30" t="str">
        <f>"－"</f>
        <v>－</v>
      </c>
      <c r="X148" s="34">
        <f>15</f>
        <v>15</v>
      </c>
    </row>
    <row r="149" spans="1:24" x14ac:dyDescent="0.15">
      <c r="A149" s="25" t="s">
        <v>971</v>
      </c>
      <c r="B149" s="25" t="s">
        <v>481</v>
      </c>
      <c r="C149" s="25" t="s">
        <v>482</v>
      </c>
      <c r="D149" s="25" t="s">
        <v>483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1520</f>
        <v>1520</v>
      </c>
      <c r="L149" s="32" t="s">
        <v>909</v>
      </c>
      <c r="M149" s="31">
        <f>1536.5</f>
        <v>1536.5</v>
      </c>
      <c r="N149" s="32" t="s">
        <v>934</v>
      </c>
      <c r="O149" s="31">
        <f>1469.5</f>
        <v>1469.5</v>
      </c>
      <c r="P149" s="32" t="s">
        <v>813</v>
      </c>
      <c r="Q149" s="31">
        <f>1536.5</f>
        <v>1536.5</v>
      </c>
      <c r="R149" s="32" t="s">
        <v>934</v>
      </c>
      <c r="S149" s="33">
        <f>1503.77</f>
        <v>1503.77</v>
      </c>
      <c r="T149" s="30">
        <f>48270</f>
        <v>48270</v>
      </c>
      <c r="U149" s="30" t="str">
        <f>"－"</f>
        <v>－</v>
      </c>
      <c r="V149" s="30">
        <f>72746360</f>
        <v>72746360</v>
      </c>
      <c r="W149" s="30" t="str">
        <f>"－"</f>
        <v>－</v>
      </c>
      <c r="X149" s="34">
        <f>11</f>
        <v>11</v>
      </c>
    </row>
    <row r="150" spans="1:24" x14ac:dyDescent="0.15">
      <c r="A150" s="25" t="s">
        <v>971</v>
      </c>
      <c r="B150" s="25" t="s">
        <v>484</v>
      </c>
      <c r="C150" s="25" t="s">
        <v>485</v>
      </c>
      <c r="D150" s="25" t="s">
        <v>486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386.7</f>
        <v>386.7</v>
      </c>
      <c r="L150" s="32" t="s">
        <v>909</v>
      </c>
      <c r="M150" s="31">
        <f>390</f>
        <v>390</v>
      </c>
      <c r="N150" s="32" t="s">
        <v>80</v>
      </c>
      <c r="O150" s="31">
        <f>359.3</f>
        <v>359.3</v>
      </c>
      <c r="P150" s="32" t="s">
        <v>935</v>
      </c>
      <c r="Q150" s="31">
        <f>383.2</f>
        <v>383.2</v>
      </c>
      <c r="R150" s="32" t="s">
        <v>818</v>
      </c>
      <c r="S150" s="33">
        <f>372.82</f>
        <v>372.82</v>
      </c>
      <c r="T150" s="30">
        <f>106888830</f>
        <v>106888830</v>
      </c>
      <c r="U150" s="30">
        <f>11832370</f>
        <v>11832370</v>
      </c>
      <c r="V150" s="30">
        <f>39852928240</f>
        <v>39852928240</v>
      </c>
      <c r="W150" s="30">
        <f>4435417737</f>
        <v>4435417737</v>
      </c>
      <c r="X150" s="34">
        <f>19</f>
        <v>19</v>
      </c>
    </row>
    <row r="151" spans="1:24" x14ac:dyDescent="0.15">
      <c r="A151" s="25" t="s">
        <v>971</v>
      </c>
      <c r="B151" s="25" t="s">
        <v>487</v>
      </c>
      <c r="C151" s="25" t="s">
        <v>488</v>
      </c>
      <c r="D151" s="25" t="s">
        <v>489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2742</f>
        <v>2742</v>
      </c>
      <c r="L151" s="32" t="s">
        <v>909</v>
      </c>
      <c r="M151" s="31">
        <f>2750</f>
        <v>2750</v>
      </c>
      <c r="N151" s="32" t="s">
        <v>813</v>
      </c>
      <c r="O151" s="31">
        <f>2710</f>
        <v>2710</v>
      </c>
      <c r="P151" s="32" t="s">
        <v>816</v>
      </c>
      <c r="Q151" s="31">
        <f>2722</f>
        <v>2722</v>
      </c>
      <c r="R151" s="32" t="s">
        <v>818</v>
      </c>
      <c r="S151" s="33">
        <f>2727.32</f>
        <v>2727.32</v>
      </c>
      <c r="T151" s="30">
        <f>3600831</f>
        <v>3600831</v>
      </c>
      <c r="U151" s="30">
        <f>3079075</f>
        <v>3079075</v>
      </c>
      <c r="V151" s="30">
        <f>9833115468</f>
        <v>9833115468</v>
      </c>
      <c r="W151" s="30">
        <f>8411067731</f>
        <v>8411067731</v>
      </c>
      <c r="X151" s="34">
        <f>19</f>
        <v>19</v>
      </c>
    </row>
    <row r="152" spans="1:24" x14ac:dyDescent="0.15">
      <c r="A152" s="25" t="s">
        <v>971</v>
      </c>
      <c r="B152" s="25" t="s">
        <v>490</v>
      </c>
      <c r="C152" s="25" t="s">
        <v>491</v>
      </c>
      <c r="D152" s="25" t="s">
        <v>492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3385</f>
        <v>3385</v>
      </c>
      <c r="L152" s="32" t="s">
        <v>909</v>
      </c>
      <c r="M152" s="31">
        <f>3395</f>
        <v>3395</v>
      </c>
      <c r="N152" s="32" t="s">
        <v>909</v>
      </c>
      <c r="O152" s="31">
        <f>3135</f>
        <v>3135</v>
      </c>
      <c r="P152" s="32" t="s">
        <v>816</v>
      </c>
      <c r="Q152" s="31">
        <f>3350</f>
        <v>3350</v>
      </c>
      <c r="R152" s="32" t="s">
        <v>818</v>
      </c>
      <c r="S152" s="33">
        <f>3256.05</f>
        <v>3256.05</v>
      </c>
      <c r="T152" s="30">
        <f>50637</f>
        <v>50637</v>
      </c>
      <c r="U152" s="30">
        <f>1465</f>
        <v>1465</v>
      </c>
      <c r="V152" s="30">
        <f>165161032</f>
        <v>165161032</v>
      </c>
      <c r="W152" s="30">
        <f>4962042</f>
        <v>4962042</v>
      </c>
      <c r="X152" s="34">
        <f>19</f>
        <v>19</v>
      </c>
    </row>
    <row r="153" spans="1:24" x14ac:dyDescent="0.15">
      <c r="A153" s="25" t="s">
        <v>971</v>
      </c>
      <c r="B153" s="25" t="s">
        <v>493</v>
      </c>
      <c r="C153" s="25" t="s">
        <v>494</v>
      </c>
      <c r="D153" s="25" t="s">
        <v>495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2270</f>
        <v>2270</v>
      </c>
      <c r="L153" s="32" t="s">
        <v>909</v>
      </c>
      <c r="M153" s="31">
        <f>2294</f>
        <v>2294</v>
      </c>
      <c r="N153" s="32" t="s">
        <v>909</v>
      </c>
      <c r="O153" s="31">
        <f>2099</f>
        <v>2099</v>
      </c>
      <c r="P153" s="32" t="s">
        <v>56</v>
      </c>
      <c r="Q153" s="31">
        <f>2263</f>
        <v>2263</v>
      </c>
      <c r="R153" s="32" t="s">
        <v>818</v>
      </c>
      <c r="S153" s="33">
        <f>2179.26</f>
        <v>2179.2600000000002</v>
      </c>
      <c r="T153" s="30">
        <f>124219</f>
        <v>124219</v>
      </c>
      <c r="U153" s="30">
        <f>30567</f>
        <v>30567</v>
      </c>
      <c r="V153" s="30">
        <f>270245443</f>
        <v>270245443</v>
      </c>
      <c r="W153" s="30">
        <f>65592723</f>
        <v>65592723</v>
      </c>
      <c r="X153" s="34">
        <f>19</f>
        <v>19</v>
      </c>
    </row>
    <row r="154" spans="1:24" x14ac:dyDescent="0.15">
      <c r="A154" s="25" t="s">
        <v>971</v>
      </c>
      <c r="B154" s="25" t="s">
        <v>496</v>
      </c>
      <c r="C154" s="25" t="s">
        <v>497</v>
      </c>
      <c r="D154" s="25" t="s">
        <v>498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3030</f>
        <v>3030</v>
      </c>
      <c r="L154" s="32" t="s">
        <v>909</v>
      </c>
      <c r="M154" s="31">
        <f>3030</f>
        <v>3030</v>
      </c>
      <c r="N154" s="32" t="s">
        <v>909</v>
      </c>
      <c r="O154" s="31">
        <f>2615</f>
        <v>2615</v>
      </c>
      <c r="P154" s="32" t="s">
        <v>87</v>
      </c>
      <c r="Q154" s="31">
        <f>2770</f>
        <v>2770</v>
      </c>
      <c r="R154" s="32" t="s">
        <v>818</v>
      </c>
      <c r="S154" s="33">
        <f>2726.63</f>
        <v>2726.63</v>
      </c>
      <c r="T154" s="30">
        <f>320133</f>
        <v>320133</v>
      </c>
      <c r="U154" s="30">
        <f>36116</f>
        <v>36116</v>
      </c>
      <c r="V154" s="30">
        <f>878815616</f>
        <v>878815616</v>
      </c>
      <c r="W154" s="30">
        <f>100042033</f>
        <v>100042033</v>
      </c>
      <c r="X154" s="34">
        <f>19</f>
        <v>19</v>
      </c>
    </row>
    <row r="155" spans="1:24" x14ac:dyDescent="0.15">
      <c r="A155" s="25" t="s">
        <v>971</v>
      </c>
      <c r="B155" s="25" t="s">
        <v>499</v>
      </c>
      <c r="C155" s="25" t="s">
        <v>500</v>
      </c>
      <c r="D155" s="25" t="s">
        <v>501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11200</f>
        <v>11200</v>
      </c>
      <c r="L155" s="32" t="s">
        <v>909</v>
      </c>
      <c r="M155" s="31">
        <f>11665</f>
        <v>11665</v>
      </c>
      <c r="N155" s="32" t="s">
        <v>906</v>
      </c>
      <c r="O155" s="31">
        <f>10835</f>
        <v>10835</v>
      </c>
      <c r="P155" s="32" t="s">
        <v>813</v>
      </c>
      <c r="Q155" s="31">
        <f>11280</f>
        <v>11280</v>
      </c>
      <c r="R155" s="32" t="s">
        <v>818</v>
      </c>
      <c r="S155" s="33">
        <f>11120</f>
        <v>11120</v>
      </c>
      <c r="T155" s="30">
        <f>9408</f>
        <v>9408</v>
      </c>
      <c r="U155" s="30" t="str">
        <f>"－"</f>
        <v>－</v>
      </c>
      <c r="V155" s="30">
        <f>104828875</f>
        <v>104828875</v>
      </c>
      <c r="W155" s="30" t="str">
        <f>"－"</f>
        <v>－</v>
      </c>
      <c r="X155" s="34">
        <f>19</f>
        <v>19</v>
      </c>
    </row>
    <row r="156" spans="1:24" x14ac:dyDescent="0.15">
      <c r="A156" s="25" t="s">
        <v>971</v>
      </c>
      <c r="B156" s="25" t="s">
        <v>502</v>
      </c>
      <c r="C156" s="25" t="s">
        <v>503</v>
      </c>
      <c r="D156" s="25" t="s">
        <v>504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2874</f>
        <v>2874</v>
      </c>
      <c r="L156" s="32" t="s">
        <v>909</v>
      </c>
      <c r="M156" s="31">
        <f>3280</f>
        <v>3280</v>
      </c>
      <c r="N156" s="32" t="s">
        <v>818</v>
      </c>
      <c r="O156" s="31">
        <f>2731</f>
        <v>2731</v>
      </c>
      <c r="P156" s="32" t="s">
        <v>821</v>
      </c>
      <c r="Q156" s="31">
        <f>3270</f>
        <v>3270</v>
      </c>
      <c r="R156" s="32" t="s">
        <v>818</v>
      </c>
      <c r="S156" s="33">
        <f>3007.74</f>
        <v>3007.74</v>
      </c>
      <c r="T156" s="30">
        <f>19906262</f>
        <v>19906262</v>
      </c>
      <c r="U156" s="30">
        <f>14725</f>
        <v>14725</v>
      </c>
      <c r="V156" s="30">
        <f>59437303348</f>
        <v>59437303348</v>
      </c>
      <c r="W156" s="30">
        <f>44579930</f>
        <v>44579930</v>
      </c>
      <c r="X156" s="34">
        <f>19</f>
        <v>19</v>
      </c>
    </row>
    <row r="157" spans="1:24" x14ac:dyDescent="0.15">
      <c r="A157" s="25" t="s">
        <v>971</v>
      </c>
      <c r="B157" s="25" t="s">
        <v>505</v>
      </c>
      <c r="C157" s="25" t="s">
        <v>506</v>
      </c>
      <c r="D157" s="25" t="s">
        <v>507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23320</f>
        <v>23320</v>
      </c>
      <c r="L157" s="32" t="s">
        <v>909</v>
      </c>
      <c r="M157" s="31">
        <f>23450</f>
        <v>23450</v>
      </c>
      <c r="N157" s="32" t="s">
        <v>909</v>
      </c>
      <c r="O157" s="31">
        <f>21860</f>
        <v>21860</v>
      </c>
      <c r="P157" s="32" t="s">
        <v>816</v>
      </c>
      <c r="Q157" s="31">
        <f>22300</f>
        <v>22300</v>
      </c>
      <c r="R157" s="32" t="s">
        <v>818</v>
      </c>
      <c r="S157" s="33">
        <f>22419.74</f>
        <v>22419.74</v>
      </c>
      <c r="T157" s="30">
        <f>3996</f>
        <v>3996</v>
      </c>
      <c r="U157" s="30" t="str">
        <f>"－"</f>
        <v>－</v>
      </c>
      <c r="V157" s="30">
        <f>89268160</f>
        <v>89268160</v>
      </c>
      <c r="W157" s="30" t="str">
        <f>"－"</f>
        <v>－</v>
      </c>
      <c r="X157" s="34">
        <f>19</f>
        <v>19</v>
      </c>
    </row>
    <row r="158" spans="1:24" x14ac:dyDescent="0.15">
      <c r="A158" s="25" t="s">
        <v>971</v>
      </c>
      <c r="B158" s="25" t="s">
        <v>508</v>
      </c>
      <c r="C158" s="25" t="s">
        <v>509</v>
      </c>
      <c r="D158" s="25" t="s">
        <v>510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2751.5</f>
        <v>2751.5</v>
      </c>
      <c r="L158" s="32" t="s">
        <v>909</v>
      </c>
      <c r="M158" s="31">
        <f>2761.5</f>
        <v>2761.5</v>
      </c>
      <c r="N158" s="32" t="s">
        <v>909</v>
      </c>
      <c r="O158" s="31">
        <f>2471</f>
        <v>2471</v>
      </c>
      <c r="P158" s="32" t="s">
        <v>56</v>
      </c>
      <c r="Q158" s="31">
        <f>2611</f>
        <v>2611</v>
      </c>
      <c r="R158" s="32" t="s">
        <v>818</v>
      </c>
      <c r="S158" s="33">
        <f>2628.5</f>
        <v>2628.5</v>
      </c>
      <c r="T158" s="30">
        <f>33610</f>
        <v>33610</v>
      </c>
      <c r="U158" s="30" t="str">
        <f>"－"</f>
        <v>－</v>
      </c>
      <c r="V158" s="30">
        <f>88309425</f>
        <v>88309425</v>
      </c>
      <c r="W158" s="30" t="str">
        <f>"－"</f>
        <v>－</v>
      </c>
      <c r="X158" s="34">
        <f>19</f>
        <v>19</v>
      </c>
    </row>
    <row r="159" spans="1:24" x14ac:dyDescent="0.15">
      <c r="A159" s="25" t="s">
        <v>971</v>
      </c>
      <c r="B159" s="25" t="s">
        <v>511</v>
      </c>
      <c r="C159" s="25" t="s">
        <v>512</v>
      </c>
      <c r="D159" s="25" t="s">
        <v>513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11515</f>
        <v>11515</v>
      </c>
      <c r="L159" s="32" t="s">
        <v>909</v>
      </c>
      <c r="M159" s="31">
        <f>11925</f>
        <v>11925</v>
      </c>
      <c r="N159" s="32" t="s">
        <v>813</v>
      </c>
      <c r="O159" s="31">
        <f>11010</f>
        <v>11010</v>
      </c>
      <c r="P159" s="32" t="s">
        <v>816</v>
      </c>
      <c r="Q159" s="31">
        <f>11500</f>
        <v>11500</v>
      </c>
      <c r="R159" s="32" t="s">
        <v>818</v>
      </c>
      <c r="S159" s="33">
        <f>11383.68</f>
        <v>11383.68</v>
      </c>
      <c r="T159" s="30">
        <f>6719</f>
        <v>6719</v>
      </c>
      <c r="U159" s="30" t="str">
        <f>"－"</f>
        <v>－</v>
      </c>
      <c r="V159" s="30">
        <f>77169675</f>
        <v>77169675</v>
      </c>
      <c r="W159" s="30" t="str">
        <f>"－"</f>
        <v>－</v>
      </c>
      <c r="X159" s="34">
        <f>19</f>
        <v>19</v>
      </c>
    </row>
    <row r="160" spans="1:24" x14ac:dyDescent="0.15">
      <c r="A160" s="25" t="s">
        <v>971</v>
      </c>
      <c r="B160" s="25" t="s">
        <v>514</v>
      </c>
      <c r="C160" s="25" t="s">
        <v>515</v>
      </c>
      <c r="D160" s="25" t="s">
        <v>516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27900</f>
        <v>27900</v>
      </c>
      <c r="L160" s="32" t="s">
        <v>909</v>
      </c>
      <c r="M160" s="31">
        <f>27915</f>
        <v>27915</v>
      </c>
      <c r="N160" s="32" t="s">
        <v>909</v>
      </c>
      <c r="O160" s="31">
        <f>22710</f>
        <v>22710</v>
      </c>
      <c r="P160" s="32" t="s">
        <v>56</v>
      </c>
      <c r="Q160" s="31">
        <f>24450</f>
        <v>24450</v>
      </c>
      <c r="R160" s="32" t="s">
        <v>818</v>
      </c>
      <c r="S160" s="33">
        <f>24369.74</f>
        <v>24369.74</v>
      </c>
      <c r="T160" s="30">
        <f>4886</f>
        <v>4886</v>
      </c>
      <c r="U160" s="30" t="str">
        <f>"－"</f>
        <v>－</v>
      </c>
      <c r="V160" s="30">
        <f>120284660</f>
        <v>120284660</v>
      </c>
      <c r="W160" s="30" t="str">
        <f>"－"</f>
        <v>－</v>
      </c>
      <c r="X160" s="34">
        <f>19</f>
        <v>19</v>
      </c>
    </row>
    <row r="161" spans="1:24" x14ac:dyDescent="0.15">
      <c r="A161" s="25" t="s">
        <v>971</v>
      </c>
      <c r="B161" s="25" t="s">
        <v>517</v>
      </c>
      <c r="C161" s="25" t="s">
        <v>518</v>
      </c>
      <c r="D161" s="25" t="s">
        <v>519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20405</f>
        <v>20405</v>
      </c>
      <c r="L161" s="32" t="s">
        <v>909</v>
      </c>
      <c r="M161" s="31">
        <f>20405</f>
        <v>20405</v>
      </c>
      <c r="N161" s="32" t="s">
        <v>909</v>
      </c>
      <c r="O161" s="31">
        <f>17515</f>
        <v>17515</v>
      </c>
      <c r="P161" s="32" t="s">
        <v>906</v>
      </c>
      <c r="Q161" s="31">
        <f>18280</f>
        <v>18280</v>
      </c>
      <c r="R161" s="32" t="s">
        <v>818</v>
      </c>
      <c r="S161" s="33">
        <f>18548.75</f>
        <v>18548.75</v>
      </c>
      <c r="T161" s="30">
        <f>592</f>
        <v>592</v>
      </c>
      <c r="U161" s="30" t="str">
        <f>"－"</f>
        <v>－</v>
      </c>
      <c r="V161" s="30">
        <f>11013620</f>
        <v>11013620</v>
      </c>
      <c r="W161" s="30" t="str">
        <f>"－"</f>
        <v>－</v>
      </c>
      <c r="X161" s="34">
        <f>16</f>
        <v>16</v>
      </c>
    </row>
    <row r="162" spans="1:24" x14ac:dyDescent="0.15">
      <c r="A162" s="25" t="s">
        <v>971</v>
      </c>
      <c r="B162" s="25" t="s">
        <v>520</v>
      </c>
      <c r="C162" s="25" t="s">
        <v>521</v>
      </c>
      <c r="D162" s="25" t="s">
        <v>522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51690</f>
        <v>51690</v>
      </c>
      <c r="L162" s="32" t="s">
        <v>909</v>
      </c>
      <c r="M162" s="31">
        <f>51760</f>
        <v>51760</v>
      </c>
      <c r="N162" s="32" t="s">
        <v>909</v>
      </c>
      <c r="O162" s="31">
        <f>50460</f>
        <v>50460</v>
      </c>
      <c r="P162" s="32" t="s">
        <v>816</v>
      </c>
      <c r="Q162" s="31">
        <f>50770</f>
        <v>50770</v>
      </c>
      <c r="R162" s="32" t="s">
        <v>818</v>
      </c>
      <c r="S162" s="33">
        <f>50959.47</f>
        <v>50959.47</v>
      </c>
      <c r="T162" s="30">
        <f>3100</f>
        <v>3100</v>
      </c>
      <c r="U162" s="30">
        <f>30</f>
        <v>30</v>
      </c>
      <c r="V162" s="30">
        <f>158041600</f>
        <v>158041600</v>
      </c>
      <c r="W162" s="30">
        <f>1537400</f>
        <v>1537400</v>
      </c>
      <c r="X162" s="34">
        <f>19</f>
        <v>19</v>
      </c>
    </row>
    <row r="163" spans="1:24" x14ac:dyDescent="0.15">
      <c r="A163" s="25" t="s">
        <v>971</v>
      </c>
      <c r="B163" s="25" t="s">
        <v>523</v>
      </c>
      <c r="C163" s="25" t="s">
        <v>524</v>
      </c>
      <c r="D163" s="25" t="s">
        <v>525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252.7</f>
        <v>252.7</v>
      </c>
      <c r="L163" s="32" t="s">
        <v>909</v>
      </c>
      <c r="M163" s="31">
        <f>254</f>
        <v>254</v>
      </c>
      <c r="N163" s="32" t="s">
        <v>909</v>
      </c>
      <c r="O163" s="31">
        <f>230.1</f>
        <v>230.1</v>
      </c>
      <c r="P163" s="32" t="s">
        <v>812</v>
      </c>
      <c r="Q163" s="31">
        <f>240.8</f>
        <v>240.8</v>
      </c>
      <c r="R163" s="32" t="s">
        <v>818</v>
      </c>
      <c r="S163" s="33">
        <f>237.5</f>
        <v>237.5</v>
      </c>
      <c r="T163" s="30">
        <f>9570300</f>
        <v>9570300</v>
      </c>
      <c r="U163" s="30">
        <f>400</f>
        <v>400</v>
      </c>
      <c r="V163" s="30">
        <f>2281620980</f>
        <v>2281620980</v>
      </c>
      <c r="W163" s="30">
        <f>92680</f>
        <v>92680</v>
      </c>
      <c r="X163" s="34">
        <f>19</f>
        <v>19</v>
      </c>
    </row>
    <row r="164" spans="1:24" x14ac:dyDescent="0.15">
      <c r="A164" s="25" t="s">
        <v>971</v>
      </c>
      <c r="B164" s="25" t="s">
        <v>526</v>
      </c>
      <c r="C164" s="25" t="s">
        <v>527</v>
      </c>
      <c r="D164" s="25" t="s">
        <v>528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37270</f>
        <v>37270</v>
      </c>
      <c r="L164" s="32" t="s">
        <v>909</v>
      </c>
      <c r="M164" s="31">
        <f>37730</f>
        <v>37730</v>
      </c>
      <c r="N164" s="32" t="s">
        <v>909</v>
      </c>
      <c r="O164" s="31">
        <f>34650</f>
        <v>34650</v>
      </c>
      <c r="P164" s="32" t="s">
        <v>935</v>
      </c>
      <c r="Q164" s="31">
        <f>36810</f>
        <v>36810</v>
      </c>
      <c r="R164" s="32" t="s">
        <v>818</v>
      </c>
      <c r="S164" s="33">
        <f>36018.42</f>
        <v>36018.42</v>
      </c>
      <c r="T164" s="30">
        <f>11060</f>
        <v>11060</v>
      </c>
      <c r="U164" s="30">
        <f>30</f>
        <v>30</v>
      </c>
      <c r="V164" s="30">
        <f>396328600</f>
        <v>396328600</v>
      </c>
      <c r="W164" s="30">
        <f>1082000</f>
        <v>1082000</v>
      </c>
      <c r="X164" s="34">
        <f>19</f>
        <v>19</v>
      </c>
    </row>
    <row r="165" spans="1:24" x14ac:dyDescent="0.15">
      <c r="A165" s="25" t="s">
        <v>971</v>
      </c>
      <c r="B165" s="25" t="s">
        <v>529</v>
      </c>
      <c r="C165" s="25" t="s">
        <v>530</v>
      </c>
      <c r="D165" s="25" t="s">
        <v>531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3851</f>
        <v>3851</v>
      </c>
      <c r="L165" s="32" t="s">
        <v>909</v>
      </c>
      <c r="M165" s="31">
        <f>3893</f>
        <v>3893</v>
      </c>
      <c r="N165" s="32" t="s">
        <v>909</v>
      </c>
      <c r="O165" s="31">
        <f>3580</f>
        <v>3580</v>
      </c>
      <c r="P165" s="32" t="s">
        <v>816</v>
      </c>
      <c r="Q165" s="31">
        <f>3819</f>
        <v>3819</v>
      </c>
      <c r="R165" s="32" t="s">
        <v>818</v>
      </c>
      <c r="S165" s="33">
        <f>3704.74</f>
        <v>3704.74</v>
      </c>
      <c r="T165" s="30">
        <f>113010</f>
        <v>113010</v>
      </c>
      <c r="U165" s="30" t="str">
        <f t="shared" ref="U165:U172" si="4">"－"</f>
        <v>－</v>
      </c>
      <c r="V165" s="30">
        <f>417073930</f>
        <v>417073930</v>
      </c>
      <c r="W165" s="30" t="str">
        <f t="shared" ref="W165:W172" si="5">"－"</f>
        <v>－</v>
      </c>
      <c r="X165" s="34">
        <f>19</f>
        <v>19</v>
      </c>
    </row>
    <row r="166" spans="1:24" x14ac:dyDescent="0.15">
      <c r="A166" s="25" t="s">
        <v>971</v>
      </c>
      <c r="B166" s="25" t="s">
        <v>532</v>
      </c>
      <c r="C166" s="25" t="s">
        <v>533</v>
      </c>
      <c r="D166" s="25" t="s">
        <v>534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1749</f>
        <v>1749</v>
      </c>
      <c r="L166" s="32" t="s">
        <v>909</v>
      </c>
      <c r="M166" s="31">
        <f>1749</f>
        <v>1749</v>
      </c>
      <c r="N166" s="32" t="s">
        <v>909</v>
      </c>
      <c r="O166" s="31">
        <f>1586</f>
        <v>1586</v>
      </c>
      <c r="P166" s="32" t="s">
        <v>56</v>
      </c>
      <c r="Q166" s="31">
        <f>1730</f>
        <v>1730</v>
      </c>
      <c r="R166" s="32" t="s">
        <v>818</v>
      </c>
      <c r="S166" s="33">
        <f>1656.63</f>
        <v>1656.63</v>
      </c>
      <c r="T166" s="30">
        <f>120590</f>
        <v>120590</v>
      </c>
      <c r="U166" s="30" t="str">
        <f t="shared" si="4"/>
        <v>－</v>
      </c>
      <c r="V166" s="30">
        <f>200474855</f>
        <v>200474855</v>
      </c>
      <c r="W166" s="30" t="str">
        <f t="shared" si="5"/>
        <v>－</v>
      </c>
      <c r="X166" s="34">
        <f>19</f>
        <v>19</v>
      </c>
    </row>
    <row r="167" spans="1:24" x14ac:dyDescent="0.15">
      <c r="A167" s="25" t="s">
        <v>971</v>
      </c>
      <c r="B167" s="25" t="s">
        <v>535</v>
      </c>
      <c r="C167" s="25" t="s">
        <v>536</v>
      </c>
      <c r="D167" s="25" t="s">
        <v>537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100</v>
      </c>
      <c r="K167" s="31">
        <f>206.9</f>
        <v>206.9</v>
      </c>
      <c r="L167" s="32" t="s">
        <v>909</v>
      </c>
      <c r="M167" s="31">
        <f>215</f>
        <v>215</v>
      </c>
      <c r="N167" s="32" t="s">
        <v>813</v>
      </c>
      <c r="O167" s="31">
        <f>201</f>
        <v>201</v>
      </c>
      <c r="P167" s="32" t="s">
        <v>816</v>
      </c>
      <c r="Q167" s="31">
        <f>203.2</f>
        <v>203.2</v>
      </c>
      <c r="R167" s="32" t="s">
        <v>818</v>
      </c>
      <c r="S167" s="33">
        <f>206.39</f>
        <v>206.39</v>
      </c>
      <c r="T167" s="30">
        <f>195400</f>
        <v>195400</v>
      </c>
      <c r="U167" s="30" t="str">
        <f t="shared" si="4"/>
        <v>－</v>
      </c>
      <c r="V167" s="30">
        <f>40495100</f>
        <v>40495100</v>
      </c>
      <c r="W167" s="30" t="str">
        <f t="shared" si="5"/>
        <v>－</v>
      </c>
      <c r="X167" s="34">
        <f>19</f>
        <v>19</v>
      </c>
    </row>
    <row r="168" spans="1:24" x14ac:dyDescent="0.15">
      <c r="A168" s="25" t="s">
        <v>971</v>
      </c>
      <c r="B168" s="25" t="s">
        <v>538</v>
      </c>
      <c r="C168" s="25" t="s">
        <v>539</v>
      </c>
      <c r="D168" s="25" t="s">
        <v>540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1779.5</f>
        <v>1779.5</v>
      </c>
      <c r="L168" s="32" t="s">
        <v>909</v>
      </c>
      <c r="M168" s="31">
        <f>1822</f>
        <v>1822</v>
      </c>
      <c r="N168" s="32" t="s">
        <v>80</v>
      </c>
      <c r="O168" s="31">
        <f>1635.5</f>
        <v>1635.5</v>
      </c>
      <c r="P168" s="32" t="s">
        <v>56</v>
      </c>
      <c r="Q168" s="31">
        <f>1774</f>
        <v>1774</v>
      </c>
      <c r="R168" s="32" t="s">
        <v>818</v>
      </c>
      <c r="S168" s="33">
        <f>1738.39</f>
        <v>1738.39</v>
      </c>
      <c r="T168" s="30">
        <f>15120</f>
        <v>15120</v>
      </c>
      <c r="U168" s="30" t="str">
        <f t="shared" si="4"/>
        <v>－</v>
      </c>
      <c r="V168" s="30">
        <f>26343670</f>
        <v>26343670</v>
      </c>
      <c r="W168" s="30" t="str">
        <f t="shared" si="5"/>
        <v>－</v>
      </c>
      <c r="X168" s="34">
        <f>18</f>
        <v>18</v>
      </c>
    </row>
    <row r="169" spans="1:24" x14ac:dyDescent="0.15">
      <c r="A169" s="25" t="s">
        <v>971</v>
      </c>
      <c r="B169" s="25" t="s">
        <v>541</v>
      </c>
      <c r="C169" s="25" t="s">
        <v>542</v>
      </c>
      <c r="D169" s="25" t="s">
        <v>543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724.1</f>
        <v>724.1</v>
      </c>
      <c r="L169" s="32" t="s">
        <v>909</v>
      </c>
      <c r="M169" s="31">
        <f>809.9</f>
        <v>809.9</v>
      </c>
      <c r="N169" s="32" t="s">
        <v>818</v>
      </c>
      <c r="O169" s="31">
        <f>690.5</f>
        <v>690.5</v>
      </c>
      <c r="P169" s="32" t="s">
        <v>905</v>
      </c>
      <c r="Q169" s="31">
        <f>807</f>
        <v>807</v>
      </c>
      <c r="R169" s="32" t="s">
        <v>818</v>
      </c>
      <c r="S169" s="33">
        <f>753.81</f>
        <v>753.81</v>
      </c>
      <c r="T169" s="30">
        <f>293780</f>
        <v>293780</v>
      </c>
      <c r="U169" s="30" t="str">
        <f t="shared" si="4"/>
        <v>－</v>
      </c>
      <c r="V169" s="30">
        <f>223882782</f>
        <v>223882782</v>
      </c>
      <c r="W169" s="30" t="str">
        <f t="shared" si="5"/>
        <v>－</v>
      </c>
      <c r="X169" s="34">
        <f>19</f>
        <v>19</v>
      </c>
    </row>
    <row r="170" spans="1:24" x14ac:dyDescent="0.15">
      <c r="A170" s="25" t="s">
        <v>971</v>
      </c>
      <c r="B170" s="25" t="s">
        <v>544</v>
      </c>
      <c r="C170" s="25" t="s">
        <v>545</v>
      </c>
      <c r="D170" s="25" t="s">
        <v>546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2529.5</f>
        <v>2529.5</v>
      </c>
      <c r="L170" s="32" t="s">
        <v>909</v>
      </c>
      <c r="M170" s="31">
        <f>2529.5</f>
        <v>2529.5</v>
      </c>
      <c r="N170" s="32" t="s">
        <v>909</v>
      </c>
      <c r="O170" s="31">
        <f>2202</f>
        <v>2202</v>
      </c>
      <c r="P170" s="32" t="s">
        <v>56</v>
      </c>
      <c r="Q170" s="31">
        <f>2332.5</f>
        <v>2332.5</v>
      </c>
      <c r="R170" s="32" t="s">
        <v>818</v>
      </c>
      <c r="S170" s="33">
        <f>2308.71</f>
        <v>2308.71</v>
      </c>
      <c r="T170" s="30">
        <f>23530</f>
        <v>23530</v>
      </c>
      <c r="U170" s="30" t="str">
        <f t="shared" si="4"/>
        <v>－</v>
      </c>
      <c r="V170" s="30">
        <f>54487865</f>
        <v>54487865</v>
      </c>
      <c r="W170" s="30" t="str">
        <f t="shared" si="5"/>
        <v>－</v>
      </c>
      <c r="X170" s="34">
        <f>19</f>
        <v>19</v>
      </c>
    </row>
    <row r="171" spans="1:24" x14ac:dyDescent="0.15">
      <c r="A171" s="25" t="s">
        <v>971</v>
      </c>
      <c r="B171" s="25" t="s">
        <v>547</v>
      </c>
      <c r="C171" s="25" t="s">
        <v>548</v>
      </c>
      <c r="D171" s="25" t="s">
        <v>549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969.7</f>
        <v>969.7</v>
      </c>
      <c r="L171" s="32" t="s">
        <v>909</v>
      </c>
      <c r="M171" s="31">
        <f>1003</f>
        <v>1003</v>
      </c>
      <c r="N171" s="32" t="s">
        <v>814</v>
      </c>
      <c r="O171" s="31">
        <f>926.3</f>
        <v>926.3</v>
      </c>
      <c r="P171" s="32" t="s">
        <v>905</v>
      </c>
      <c r="Q171" s="31">
        <f>955</f>
        <v>955</v>
      </c>
      <c r="R171" s="32" t="s">
        <v>818</v>
      </c>
      <c r="S171" s="33">
        <f>958.7</f>
        <v>958.7</v>
      </c>
      <c r="T171" s="30">
        <f>315630</f>
        <v>315630</v>
      </c>
      <c r="U171" s="30" t="str">
        <f t="shared" si="4"/>
        <v>－</v>
      </c>
      <c r="V171" s="30">
        <f>303648854</f>
        <v>303648854</v>
      </c>
      <c r="W171" s="30" t="str">
        <f t="shared" si="5"/>
        <v>－</v>
      </c>
      <c r="X171" s="34">
        <f>19</f>
        <v>19</v>
      </c>
    </row>
    <row r="172" spans="1:24" x14ac:dyDescent="0.15">
      <c r="A172" s="25" t="s">
        <v>971</v>
      </c>
      <c r="B172" s="25" t="s">
        <v>550</v>
      </c>
      <c r="C172" s="25" t="s">
        <v>551</v>
      </c>
      <c r="D172" s="25" t="s">
        <v>552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727.1</f>
        <v>727.1</v>
      </c>
      <c r="L172" s="32" t="s">
        <v>909</v>
      </c>
      <c r="M172" s="31">
        <f>775.3</f>
        <v>775.3</v>
      </c>
      <c r="N172" s="32" t="s">
        <v>814</v>
      </c>
      <c r="O172" s="31">
        <f>700.6</f>
        <v>700.6</v>
      </c>
      <c r="P172" s="32" t="s">
        <v>905</v>
      </c>
      <c r="Q172" s="31">
        <f>728.9</f>
        <v>728.9</v>
      </c>
      <c r="R172" s="32" t="s">
        <v>818</v>
      </c>
      <c r="S172" s="33">
        <f>732.35</f>
        <v>732.35</v>
      </c>
      <c r="T172" s="30">
        <f>1240210</f>
        <v>1240210</v>
      </c>
      <c r="U172" s="30" t="str">
        <f t="shared" si="4"/>
        <v>－</v>
      </c>
      <c r="V172" s="30">
        <f>910776372</f>
        <v>910776372</v>
      </c>
      <c r="W172" s="30" t="str">
        <f t="shared" si="5"/>
        <v>－</v>
      </c>
      <c r="X172" s="34">
        <f>19</f>
        <v>19</v>
      </c>
    </row>
    <row r="173" spans="1:24" x14ac:dyDescent="0.15">
      <c r="A173" s="25" t="s">
        <v>971</v>
      </c>
      <c r="B173" s="25" t="s">
        <v>553</v>
      </c>
      <c r="C173" s="25" t="s">
        <v>554</v>
      </c>
      <c r="D173" s="25" t="s">
        <v>555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4.1</f>
        <v>4.0999999999999996</v>
      </c>
      <c r="L173" s="32" t="s">
        <v>909</v>
      </c>
      <c r="M173" s="31">
        <f>4.9</f>
        <v>4.9000000000000004</v>
      </c>
      <c r="N173" s="32" t="s">
        <v>80</v>
      </c>
      <c r="O173" s="31">
        <f>3.7</f>
        <v>3.7</v>
      </c>
      <c r="P173" s="32" t="s">
        <v>905</v>
      </c>
      <c r="Q173" s="31">
        <f>4.5</f>
        <v>4.5</v>
      </c>
      <c r="R173" s="32" t="s">
        <v>818</v>
      </c>
      <c r="S173" s="33">
        <f>4.35</f>
        <v>4.3499999999999996</v>
      </c>
      <c r="T173" s="30">
        <f>881261200</f>
        <v>881261200</v>
      </c>
      <c r="U173" s="30">
        <f>1142100</f>
        <v>1142100</v>
      </c>
      <c r="V173" s="30">
        <f>3845847080</f>
        <v>3845847080</v>
      </c>
      <c r="W173" s="30">
        <f>5133300</f>
        <v>5133300</v>
      </c>
      <c r="X173" s="34">
        <f>19</f>
        <v>19</v>
      </c>
    </row>
    <row r="174" spans="1:24" x14ac:dyDescent="0.15">
      <c r="A174" s="25" t="s">
        <v>971</v>
      </c>
      <c r="B174" s="25" t="s">
        <v>556</v>
      </c>
      <c r="C174" s="25" t="s">
        <v>557</v>
      </c>
      <c r="D174" s="25" t="s">
        <v>558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1337</f>
        <v>1337</v>
      </c>
      <c r="L174" s="32" t="s">
        <v>909</v>
      </c>
      <c r="M174" s="31">
        <f>1504</f>
        <v>1504</v>
      </c>
      <c r="N174" s="32" t="s">
        <v>818</v>
      </c>
      <c r="O174" s="31">
        <f>1281</f>
        <v>1281</v>
      </c>
      <c r="P174" s="32" t="s">
        <v>821</v>
      </c>
      <c r="Q174" s="31">
        <f>1499</f>
        <v>1499</v>
      </c>
      <c r="R174" s="32" t="s">
        <v>818</v>
      </c>
      <c r="S174" s="33">
        <f>1388.16</f>
        <v>1388.16</v>
      </c>
      <c r="T174" s="30">
        <f>451830</f>
        <v>451830</v>
      </c>
      <c r="U174" s="30" t="str">
        <f t="shared" ref="U174:U181" si="6">"－"</f>
        <v>－</v>
      </c>
      <c r="V174" s="30">
        <f>630159390</f>
        <v>630159390</v>
      </c>
      <c r="W174" s="30" t="str">
        <f t="shared" ref="W174:W181" si="7">"－"</f>
        <v>－</v>
      </c>
      <c r="X174" s="34">
        <f>19</f>
        <v>19</v>
      </c>
    </row>
    <row r="175" spans="1:24" x14ac:dyDescent="0.15">
      <c r="A175" s="25" t="s">
        <v>971</v>
      </c>
      <c r="B175" s="25" t="s">
        <v>559</v>
      </c>
      <c r="C175" s="25" t="s">
        <v>560</v>
      </c>
      <c r="D175" s="25" t="s">
        <v>561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</v>
      </c>
      <c r="K175" s="31">
        <f>6020</f>
        <v>6020</v>
      </c>
      <c r="L175" s="32" t="s">
        <v>909</v>
      </c>
      <c r="M175" s="31">
        <f>7180</f>
        <v>7180</v>
      </c>
      <c r="N175" s="32" t="s">
        <v>818</v>
      </c>
      <c r="O175" s="31">
        <f>6020</f>
        <v>6020</v>
      </c>
      <c r="P175" s="32" t="s">
        <v>909</v>
      </c>
      <c r="Q175" s="31">
        <f>7040</f>
        <v>7040</v>
      </c>
      <c r="R175" s="32" t="s">
        <v>818</v>
      </c>
      <c r="S175" s="33">
        <f>6638.42</f>
        <v>6638.42</v>
      </c>
      <c r="T175" s="30">
        <f>11792</f>
        <v>11792</v>
      </c>
      <c r="U175" s="30" t="str">
        <f t="shared" si="6"/>
        <v>－</v>
      </c>
      <c r="V175" s="30">
        <f>78516230</f>
        <v>78516230</v>
      </c>
      <c r="W175" s="30" t="str">
        <f t="shared" si="7"/>
        <v>－</v>
      </c>
      <c r="X175" s="34">
        <f>19</f>
        <v>19</v>
      </c>
    </row>
    <row r="176" spans="1:24" x14ac:dyDescent="0.15">
      <c r="A176" s="25" t="s">
        <v>971</v>
      </c>
      <c r="B176" s="25" t="s">
        <v>562</v>
      </c>
      <c r="C176" s="25" t="s">
        <v>563</v>
      </c>
      <c r="D176" s="25" t="s">
        <v>564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550.2</f>
        <v>550.20000000000005</v>
      </c>
      <c r="L176" s="32" t="s">
        <v>909</v>
      </c>
      <c r="M176" s="31">
        <f>610</f>
        <v>610</v>
      </c>
      <c r="N176" s="32" t="s">
        <v>814</v>
      </c>
      <c r="O176" s="31">
        <f>487.2</f>
        <v>487.2</v>
      </c>
      <c r="P176" s="32" t="s">
        <v>905</v>
      </c>
      <c r="Q176" s="31">
        <f>513</f>
        <v>513</v>
      </c>
      <c r="R176" s="32" t="s">
        <v>818</v>
      </c>
      <c r="S176" s="33">
        <f>518.64</f>
        <v>518.64</v>
      </c>
      <c r="T176" s="30">
        <f>790500</f>
        <v>790500</v>
      </c>
      <c r="U176" s="30" t="str">
        <f t="shared" si="6"/>
        <v>－</v>
      </c>
      <c r="V176" s="30">
        <f>426013250</f>
        <v>426013250</v>
      </c>
      <c r="W176" s="30" t="str">
        <f t="shared" si="7"/>
        <v>－</v>
      </c>
      <c r="X176" s="34">
        <f>19</f>
        <v>19</v>
      </c>
    </row>
    <row r="177" spans="1:24" x14ac:dyDescent="0.15">
      <c r="A177" s="25" t="s">
        <v>971</v>
      </c>
      <c r="B177" s="25" t="s">
        <v>565</v>
      </c>
      <c r="C177" s="25" t="s">
        <v>566</v>
      </c>
      <c r="D177" s="25" t="s">
        <v>567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5037</f>
        <v>5037</v>
      </c>
      <c r="L177" s="32" t="s">
        <v>909</v>
      </c>
      <c r="M177" s="31">
        <f>5040</f>
        <v>5040</v>
      </c>
      <c r="N177" s="32" t="s">
        <v>909</v>
      </c>
      <c r="O177" s="31">
        <f>4631</f>
        <v>4631</v>
      </c>
      <c r="P177" s="32" t="s">
        <v>56</v>
      </c>
      <c r="Q177" s="31">
        <f>4905</f>
        <v>4905</v>
      </c>
      <c r="R177" s="32" t="s">
        <v>818</v>
      </c>
      <c r="S177" s="33">
        <f>4824.11</f>
        <v>4824.1099999999997</v>
      </c>
      <c r="T177" s="30">
        <f>52130</f>
        <v>52130</v>
      </c>
      <c r="U177" s="30" t="str">
        <f t="shared" si="6"/>
        <v>－</v>
      </c>
      <c r="V177" s="30">
        <f>251253560</f>
        <v>251253560</v>
      </c>
      <c r="W177" s="30" t="str">
        <f t="shared" si="7"/>
        <v>－</v>
      </c>
      <c r="X177" s="34">
        <f>19</f>
        <v>19</v>
      </c>
    </row>
    <row r="178" spans="1:24" x14ac:dyDescent="0.15">
      <c r="A178" s="25" t="s">
        <v>971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3879</f>
        <v>3879</v>
      </c>
      <c r="L178" s="32" t="s">
        <v>909</v>
      </c>
      <c r="M178" s="31">
        <f>3886</f>
        <v>3886</v>
      </c>
      <c r="N178" s="32" t="s">
        <v>909</v>
      </c>
      <c r="O178" s="31">
        <f>3120</f>
        <v>3120</v>
      </c>
      <c r="P178" s="32" t="s">
        <v>816</v>
      </c>
      <c r="Q178" s="31">
        <f>3422</f>
        <v>3422</v>
      </c>
      <c r="R178" s="32" t="s">
        <v>818</v>
      </c>
      <c r="S178" s="33">
        <f>3360.95</f>
        <v>3360.95</v>
      </c>
      <c r="T178" s="30">
        <f>73890</f>
        <v>73890</v>
      </c>
      <c r="U178" s="30" t="str">
        <f t="shared" si="6"/>
        <v>－</v>
      </c>
      <c r="V178" s="30">
        <f>249162490</f>
        <v>249162490</v>
      </c>
      <c r="W178" s="30" t="str">
        <f t="shared" si="7"/>
        <v>－</v>
      </c>
      <c r="X178" s="34">
        <f>19</f>
        <v>19</v>
      </c>
    </row>
    <row r="179" spans="1:24" x14ac:dyDescent="0.15">
      <c r="A179" s="25" t="s">
        <v>971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144</f>
        <v>144</v>
      </c>
      <c r="L179" s="32" t="s">
        <v>909</v>
      </c>
      <c r="M179" s="31">
        <f>172</f>
        <v>172</v>
      </c>
      <c r="N179" s="32" t="s">
        <v>814</v>
      </c>
      <c r="O179" s="31">
        <f>140.4</f>
        <v>140.4</v>
      </c>
      <c r="P179" s="32" t="s">
        <v>909</v>
      </c>
      <c r="Q179" s="31">
        <f>151.2</f>
        <v>151.19999999999999</v>
      </c>
      <c r="R179" s="32" t="s">
        <v>818</v>
      </c>
      <c r="S179" s="33">
        <f>155.27</f>
        <v>155.27000000000001</v>
      </c>
      <c r="T179" s="30">
        <f>33342300</f>
        <v>33342300</v>
      </c>
      <c r="U179" s="30" t="str">
        <f t="shared" si="6"/>
        <v>－</v>
      </c>
      <c r="V179" s="30">
        <f>5233143140</f>
        <v>5233143140</v>
      </c>
      <c r="W179" s="30" t="str">
        <f t="shared" si="7"/>
        <v>－</v>
      </c>
      <c r="X179" s="34">
        <f>19</f>
        <v>19</v>
      </c>
    </row>
    <row r="180" spans="1:24" x14ac:dyDescent="0.15">
      <c r="A180" s="25" t="s">
        <v>971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199.5</f>
        <v>199.5</v>
      </c>
      <c r="L180" s="32" t="s">
        <v>909</v>
      </c>
      <c r="M180" s="31">
        <f>199.7</f>
        <v>199.7</v>
      </c>
      <c r="N180" s="32" t="s">
        <v>909</v>
      </c>
      <c r="O180" s="31">
        <f>181.3</f>
        <v>181.3</v>
      </c>
      <c r="P180" s="32" t="s">
        <v>812</v>
      </c>
      <c r="Q180" s="31">
        <f>185.2</f>
        <v>185.2</v>
      </c>
      <c r="R180" s="32" t="s">
        <v>818</v>
      </c>
      <c r="S180" s="33">
        <f>189.68</f>
        <v>189.68</v>
      </c>
      <c r="T180" s="30">
        <f>4059700</f>
        <v>4059700</v>
      </c>
      <c r="U180" s="30" t="str">
        <f t="shared" si="6"/>
        <v>－</v>
      </c>
      <c r="V180" s="30">
        <f>776845920</f>
        <v>776845920</v>
      </c>
      <c r="W180" s="30" t="str">
        <f t="shared" si="7"/>
        <v>－</v>
      </c>
      <c r="X180" s="34">
        <f>19</f>
        <v>19</v>
      </c>
    </row>
    <row r="181" spans="1:24" x14ac:dyDescent="0.15">
      <c r="A181" s="25" t="s">
        <v>971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4031</f>
        <v>4031</v>
      </c>
      <c r="L181" s="32" t="s">
        <v>909</v>
      </c>
      <c r="M181" s="31">
        <f>4072</f>
        <v>4072</v>
      </c>
      <c r="N181" s="32" t="s">
        <v>818</v>
      </c>
      <c r="O181" s="31">
        <f>3751</f>
        <v>3751</v>
      </c>
      <c r="P181" s="32" t="s">
        <v>905</v>
      </c>
      <c r="Q181" s="31">
        <f>4066</f>
        <v>4066</v>
      </c>
      <c r="R181" s="32" t="s">
        <v>818</v>
      </c>
      <c r="S181" s="33">
        <f>3922.37</f>
        <v>3922.37</v>
      </c>
      <c r="T181" s="30">
        <f>48950</f>
        <v>48950</v>
      </c>
      <c r="U181" s="30" t="str">
        <f t="shared" si="6"/>
        <v>－</v>
      </c>
      <c r="V181" s="30">
        <f>191839730</f>
        <v>191839730</v>
      </c>
      <c r="W181" s="30" t="str">
        <f t="shared" si="7"/>
        <v>－</v>
      </c>
      <c r="X181" s="34">
        <f>19</f>
        <v>19</v>
      </c>
    </row>
    <row r="182" spans="1:24" x14ac:dyDescent="0.15">
      <c r="A182" s="25" t="s">
        <v>971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1945</f>
        <v>1945</v>
      </c>
      <c r="L182" s="32" t="s">
        <v>909</v>
      </c>
      <c r="M182" s="31">
        <f>1996</f>
        <v>1996</v>
      </c>
      <c r="N182" s="32" t="s">
        <v>818</v>
      </c>
      <c r="O182" s="31">
        <f>1909.5</f>
        <v>1909.5</v>
      </c>
      <c r="P182" s="32" t="s">
        <v>56</v>
      </c>
      <c r="Q182" s="31">
        <f>1986.5</f>
        <v>1986.5</v>
      </c>
      <c r="R182" s="32" t="s">
        <v>818</v>
      </c>
      <c r="S182" s="33">
        <f>1947.95</f>
        <v>1947.95</v>
      </c>
      <c r="T182" s="30">
        <f>40580</f>
        <v>40580</v>
      </c>
      <c r="U182" s="30">
        <f>20</f>
        <v>20</v>
      </c>
      <c r="V182" s="30">
        <f>80176255</f>
        <v>80176255</v>
      </c>
      <c r="W182" s="30">
        <f>38505</f>
        <v>38505</v>
      </c>
      <c r="X182" s="34">
        <f>19</f>
        <v>19</v>
      </c>
    </row>
    <row r="183" spans="1:24" x14ac:dyDescent="0.15">
      <c r="A183" s="25" t="s">
        <v>971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359</f>
        <v>359</v>
      </c>
      <c r="L183" s="32" t="s">
        <v>909</v>
      </c>
      <c r="M183" s="31">
        <f>403.9</f>
        <v>403.9</v>
      </c>
      <c r="N183" s="32" t="s">
        <v>818</v>
      </c>
      <c r="O183" s="31">
        <f>344.5</f>
        <v>344.5</v>
      </c>
      <c r="P183" s="32" t="s">
        <v>821</v>
      </c>
      <c r="Q183" s="31">
        <f>403</f>
        <v>403</v>
      </c>
      <c r="R183" s="32" t="s">
        <v>818</v>
      </c>
      <c r="S183" s="33">
        <f>373.26</f>
        <v>373.26</v>
      </c>
      <c r="T183" s="30">
        <f>52469360</f>
        <v>52469360</v>
      </c>
      <c r="U183" s="30">
        <f>102370</f>
        <v>102370</v>
      </c>
      <c r="V183" s="30">
        <f>19621706733</f>
        <v>19621706733</v>
      </c>
      <c r="W183" s="30">
        <f>37140286</f>
        <v>37140286</v>
      </c>
      <c r="X183" s="34">
        <f>19</f>
        <v>19</v>
      </c>
    </row>
    <row r="184" spans="1:24" x14ac:dyDescent="0.15">
      <c r="A184" s="25" t="s">
        <v>971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6472</f>
        <v>6472</v>
      </c>
      <c r="L184" s="32" t="s">
        <v>909</v>
      </c>
      <c r="M184" s="31">
        <f>7011</f>
        <v>7011</v>
      </c>
      <c r="N184" s="32" t="s">
        <v>818</v>
      </c>
      <c r="O184" s="31">
        <f>5844</f>
        <v>5844</v>
      </c>
      <c r="P184" s="32" t="s">
        <v>56</v>
      </c>
      <c r="Q184" s="31">
        <f>7002</f>
        <v>7002</v>
      </c>
      <c r="R184" s="32" t="s">
        <v>818</v>
      </c>
      <c r="S184" s="33">
        <f>6399.95</f>
        <v>6399.95</v>
      </c>
      <c r="T184" s="30">
        <f>23216</f>
        <v>23216</v>
      </c>
      <c r="U184" s="30" t="str">
        <f t="shared" ref="U184:U189" si="8">"－"</f>
        <v>－</v>
      </c>
      <c r="V184" s="30">
        <f>148348053</f>
        <v>148348053</v>
      </c>
      <c r="W184" s="30" t="str">
        <f t="shared" ref="W184:W189" si="9">"－"</f>
        <v>－</v>
      </c>
      <c r="X184" s="34">
        <f>19</f>
        <v>19</v>
      </c>
    </row>
    <row r="185" spans="1:24" x14ac:dyDescent="0.15">
      <c r="A185" s="25" t="s">
        <v>971</v>
      </c>
      <c r="B185" s="25" t="s">
        <v>590</v>
      </c>
      <c r="C185" s="25" t="s">
        <v>591</v>
      </c>
      <c r="D185" s="25" t="s">
        <v>592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7986</f>
        <v>7986</v>
      </c>
      <c r="L185" s="32" t="s">
        <v>909</v>
      </c>
      <c r="M185" s="31">
        <f>8380</f>
        <v>8380</v>
      </c>
      <c r="N185" s="32" t="s">
        <v>905</v>
      </c>
      <c r="O185" s="31">
        <f>7257</f>
        <v>7257</v>
      </c>
      <c r="P185" s="32" t="s">
        <v>934</v>
      </c>
      <c r="Q185" s="31">
        <f>7385</f>
        <v>7385</v>
      </c>
      <c r="R185" s="32" t="s">
        <v>818</v>
      </c>
      <c r="S185" s="33">
        <f>7814.42</f>
        <v>7814.42</v>
      </c>
      <c r="T185" s="30">
        <f>14907</f>
        <v>14907</v>
      </c>
      <c r="U185" s="30" t="str">
        <f t="shared" si="8"/>
        <v>－</v>
      </c>
      <c r="V185" s="30">
        <f>121878385</f>
        <v>121878385</v>
      </c>
      <c r="W185" s="30" t="str">
        <f t="shared" si="9"/>
        <v>－</v>
      </c>
      <c r="X185" s="34">
        <f>19</f>
        <v>19</v>
      </c>
    </row>
    <row r="186" spans="1:24" x14ac:dyDescent="0.15">
      <c r="A186" s="25" t="s">
        <v>971</v>
      </c>
      <c r="B186" s="25" t="s">
        <v>593</v>
      </c>
      <c r="C186" s="25" t="s">
        <v>594</v>
      </c>
      <c r="D186" s="25" t="s">
        <v>595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13500</f>
        <v>13500</v>
      </c>
      <c r="L186" s="32" t="s">
        <v>909</v>
      </c>
      <c r="M186" s="31">
        <f>13670</f>
        <v>13670</v>
      </c>
      <c r="N186" s="32" t="s">
        <v>909</v>
      </c>
      <c r="O186" s="31">
        <f>12190</f>
        <v>12190</v>
      </c>
      <c r="P186" s="32" t="s">
        <v>813</v>
      </c>
      <c r="Q186" s="31">
        <f>13465</f>
        <v>13465</v>
      </c>
      <c r="R186" s="32" t="s">
        <v>818</v>
      </c>
      <c r="S186" s="33">
        <f>12962.5</f>
        <v>12962.5</v>
      </c>
      <c r="T186" s="30">
        <f>272</f>
        <v>272</v>
      </c>
      <c r="U186" s="30" t="str">
        <f t="shared" si="8"/>
        <v>－</v>
      </c>
      <c r="V186" s="30">
        <f>3509290</f>
        <v>3509290</v>
      </c>
      <c r="W186" s="30" t="str">
        <f t="shared" si="9"/>
        <v>－</v>
      </c>
      <c r="X186" s="34">
        <f>16</f>
        <v>16</v>
      </c>
    </row>
    <row r="187" spans="1:24" x14ac:dyDescent="0.15">
      <c r="A187" s="25" t="s">
        <v>971</v>
      </c>
      <c r="B187" s="25" t="s">
        <v>596</v>
      </c>
      <c r="C187" s="25" t="s">
        <v>597</v>
      </c>
      <c r="D187" s="25" t="s">
        <v>598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7409</f>
        <v>7409</v>
      </c>
      <c r="L187" s="32" t="s">
        <v>909</v>
      </c>
      <c r="M187" s="31">
        <f>7500</f>
        <v>7500</v>
      </c>
      <c r="N187" s="32" t="s">
        <v>821</v>
      </c>
      <c r="O187" s="31">
        <f>7075</f>
        <v>7075</v>
      </c>
      <c r="P187" s="32" t="s">
        <v>935</v>
      </c>
      <c r="Q187" s="31">
        <f>7175</f>
        <v>7175</v>
      </c>
      <c r="R187" s="32" t="s">
        <v>818</v>
      </c>
      <c r="S187" s="33">
        <f>7290.32</f>
        <v>7290.32</v>
      </c>
      <c r="T187" s="30">
        <f>20697</f>
        <v>20697</v>
      </c>
      <c r="U187" s="30" t="str">
        <f t="shared" si="8"/>
        <v>－</v>
      </c>
      <c r="V187" s="30">
        <f>150265422</f>
        <v>150265422</v>
      </c>
      <c r="W187" s="30" t="str">
        <f t="shared" si="9"/>
        <v>－</v>
      </c>
      <c r="X187" s="34">
        <f>19</f>
        <v>19</v>
      </c>
    </row>
    <row r="188" spans="1:24" x14ac:dyDescent="0.15">
      <c r="A188" s="25" t="s">
        <v>971</v>
      </c>
      <c r="B188" s="25" t="s">
        <v>602</v>
      </c>
      <c r="C188" s="25" t="s">
        <v>603</v>
      </c>
      <c r="D188" s="25" t="s">
        <v>604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26630</f>
        <v>26630</v>
      </c>
      <c r="L188" s="32" t="s">
        <v>909</v>
      </c>
      <c r="M188" s="31">
        <f>26800</f>
        <v>26800</v>
      </c>
      <c r="N188" s="32" t="s">
        <v>911</v>
      </c>
      <c r="O188" s="31">
        <f>23860</f>
        <v>23860</v>
      </c>
      <c r="P188" s="32" t="s">
        <v>906</v>
      </c>
      <c r="Q188" s="31">
        <f>24770</f>
        <v>24770</v>
      </c>
      <c r="R188" s="32" t="s">
        <v>818</v>
      </c>
      <c r="S188" s="33">
        <f>24986.32</f>
        <v>24986.32</v>
      </c>
      <c r="T188" s="30">
        <f>38737</f>
        <v>38737</v>
      </c>
      <c r="U188" s="30" t="str">
        <f t="shared" si="8"/>
        <v>－</v>
      </c>
      <c r="V188" s="30">
        <f>967059160</f>
        <v>967059160</v>
      </c>
      <c r="W188" s="30" t="str">
        <f t="shared" si="9"/>
        <v>－</v>
      </c>
      <c r="X188" s="34">
        <f>19</f>
        <v>19</v>
      </c>
    </row>
    <row r="189" spans="1:24" x14ac:dyDescent="0.15">
      <c r="A189" s="25" t="s">
        <v>971</v>
      </c>
      <c r="B189" s="25" t="s">
        <v>605</v>
      </c>
      <c r="C189" s="25" t="s">
        <v>606</v>
      </c>
      <c r="D189" s="25" t="s">
        <v>607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4405</f>
        <v>4405</v>
      </c>
      <c r="L189" s="32" t="s">
        <v>909</v>
      </c>
      <c r="M189" s="31">
        <f>4655</f>
        <v>4655</v>
      </c>
      <c r="N189" s="32" t="s">
        <v>814</v>
      </c>
      <c r="O189" s="31">
        <f>4360</f>
        <v>4360</v>
      </c>
      <c r="P189" s="32" t="s">
        <v>909</v>
      </c>
      <c r="Q189" s="31">
        <f>4590</f>
        <v>4590</v>
      </c>
      <c r="R189" s="32" t="s">
        <v>818</v>
      </c>
      <c r="S189" s="33">
        <f>4538.95</f>
        <v>4538.95</v>
      </c>
      <c r="T189" s="30">
        <f>13612</f>
        <v>13612</v>
      </c>
      <c r="U189" s="30" t="str">
        <f t="shared" si="8"/>
        <v>－</v>
      </c>
      <c r="V189" s="30">
        <f>62029890</f>
        <v>62029890</v>
      </c>
      <c r="W189" s="30" t="str">
        <f t="shared" si="9"/>
        <v>－</v>
      </c>
      <c r="X189" s="34">
        <f>19</f>
        <v>19</v>
      </c>
    </row>
    <row r="190" spans="1:24" x14ac:dyDescent="0.15">
      <c r="A190" s="25" t="s">
        <v>971</v>
      </c>
      <c r="B190" s="25" t="s">
        <v>608</v>
      </c>
      <c r="C190" s="25" t="s">
        <v>609</v>
      </c>
      <c r="D190" s="25" t="s">
        <v>610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1603</f>
        <v>1603</v>
      </c>
      <c r="L190" s="32" t="s">
        <v>909</v>
      </c>
      <c r="M190" s="31">
        <f>1863</f>
        <v>1863</v>
      </c>
      <c r="N190" s="32" t="s">
        <v>818</v>
      </c>
      <c r="O190" s="31">
        <f>1477</f>
        <v>1477</v>
      </c>
      <c r="P190" s="32" t="s">
        <v>821</v>
      </c>
      <c r="Q190" s="31">
        <f>1863</f>
        <v>1863</v>
      </c>
      <c r="R190" s="32" t="s">
        <v>818</v>
      </c>
      <c r="S190" s="33">
        <f>1664.53</f>
        <v>1664.53</v>
      </c>
      <c r="T190" s="30">
        <f>82346381</f>
        <v>82346381</v>
      </c>
      <c r="U190" s="30">
        <f>302874</f>
        <v>302874</v>
      </c>
      <c r="V190" s="30">
        <f>138082856091</f>
        <v>138082856091</v>
      </c>
      <c r="W190" s="30">
        <f>558971829</f>
        <v>558971829</v>
      </c>
      <c r="X190" s="34">
        <f>19</f>
        <v>19</v>
      </c>
    </row>
    <row r="191" spans="1:24" x14ac:dyDescent="0.15">
      <c r="A191" s="25" t="s">
        <v>971</v>
      </c>
      <c r="B191" s="25" t="s">
        <v>611</v>
      </c>
      <c r="C191" s="25" t="s">
        <v>612</v>
      </c>
      <c r="D191" s="25" t="s">
        <v>613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1558</f>
        <v>1558</v>
      </c>
      <c r="L191" s="32" t="s">
        <v>909</v>
      </c>
      <c r="M191" s="31">
        <f>1614</f>
        <v>1614</v>
      </c>
      <c r="N191" s="32" t="s">
        <v>821</v>
      </c>
      <c r="O191" s="31">
        <f>1445</f>
        <v>1445</v>
      </c>
      <c r="P191" s="32" t="s">
        <v>818</v>
      </c>
      <c r="Q191" s="31">
        <f>1450</f>
        <v>1450</v>
      </c>
      <c r="R191" s="32" t="s">
        <v>818</v>
      </c>
      <c r="S191" s="33">
        <f>1530.84</f>
        <v>1530.84</v>
      </c>
      <c r="T191" s="30">
        <f>4035950</f>
        <v>4035950</v>
      </c>
      <c r="U191" s="30" t="str">
        <f>"－"</f>
        <v>－</v>
      </c>
      <c r="V191" s="30">
        <f>6126306752</f>
        <v>6126306752</v>
      </c>
      <c r="W191" s="30" t="str">
        <f>"－"</f>
        <v>－</v>
      </c>
      <c r="X191" s="34">
        <f>19</f>
        <v>19</v>
      </c>
    </row>
    <row r="192" spans="1:24" x14ac:dyDescent="0.15">
      <c r="A192" s="25" t="s">
        <v>971</v>
      </c>
      <c r="B192" s="25" t="s">
        <v>614</v>
      </c>
      <c r="C192" s="25" t="s">
        <v>615</v>
      </c>
      <c r="D192" s="25" t="s">
        <v>616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27515</f>
        <v>27515</v>
      </c>
      <c r="L192" s="32" t="s">
        <v>909</v>
      </c>
      <c r="M192" s="31">
        <f>27740</f>
        <v>27740</v>
      </c>
      <c r="N192" s="32" t="s">
        <v>909</v>
      </c>
      <c r="O192" s="31">
        <f>24640</f>
        <v>24640</v>
      </c>
      <c r="P192" s="32" t="s">
        <v>816</v>
      </c>
      <c r="Q192" s="31">
        <f>27180</f>
        <v>27180</v>
      </c>
      <c r="R192" s="32" t="s">
        <v>818</v>
      </c>
      <c r="S192" s="33">
        <f>26087.37</f>
        <v>26087.37</v>
      </c>
      <c r="T192" s="30">
        <f>243967</f>
        <v>243967</v>
      </c>
      <c r="U192" s="30">
        <f>4</f>
        <v>4</v>
      </c>
      <c r="V192" s="30">
        <f>6362871445</f>
        <v>6362871445</v>
      </c>
      <c r="W192" s="30">
        <f>112765</f>
        <v>112765</v>
      </c>
      <c r="X192" s="34">
        <f>19</f>
        <v>19</v>
      </c>
    </row>
    <row r="193" spans="1:24" x14ac:dyDescent="0.15">
      <c r="A193" s="25" t="s">
        <v>971</v>
      </c>
      <c r="B193" s="25" t="s">
        <v>617</v>
      </c>
      <c r="C193" s="25" t="s">
        <v>618</v>
      </c>
      <c r="D193" s="25" t="s">
        <v>619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2999</f>
        <v>2999</v>
      </c>
      <c r="L193" s="32" t="s">
        <v>909</v>
      </c>
      <c r="M193" s="31">
        <f>3135</f>
        <v>3135</v>
      </c>
      <c r="N193" s="32" t="s">
        <v>816</v>
      </c>
      <c r="O193" s="31">
        <f>2954</f>
        <v>2954</v>
      </c>
      <c r="P193" s="32" t="s">
        <v>934</v>
      </c>
      <c r="Q193" s="31">
        <f>2967</f>
        <v>2967</v>
      </c>
      <c r="R193" s="32" t="s">
        <v>818</v>
      </c>
      <c r="S193" s="33">
        <f>3051.95</f>
        <v>3051.95</v>
      </c>
      <c r="T193" s="30">
        <f>517694</f>
        <v>517694</v>
      </c>
      <c r="U193" s="30">
        <f>9996</f>
        <v>9996</v>
      </c>
      <c r="V193" s="30">
        <f>1578373935</f>
        <v>1578373935</v>
      </c>
      <c r="W193" s="30">
        <f>29828323</f>
        <v>29828323</v>
      </c>
      <c r="X193" s="34">
        <f>19</f>
        <v>19</v>
      </c>
    </row>
    <row r="194" spans="1:24" x14ac:dyDescent="0.15">
      <c r="A194" s="25" t="s">
        <v>971</v>
      </c>
      <c r="B194" s="25" t="s">
        <v>620</v>
      </c>
      <c r="C194" s="25" t="s">
        <v>621</v>
      </c>
      <c r="D194" s="25" t="s">
        <v>622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7406</f>
        <v>7406</v>
      </c>
      <c r="L194" s="32" t="s">
        <v>909</v>
      </c>
      <c r="M194" s="31">
        <f>7506</f>
        <v>7506</v>
      </c>
      <c r="N194" s="32" t="s">
        <v>909</v>
      </c>
      <c r="O194" s="31">
        <f>6610</f>
        <v>6610</v>
      </c>
      <c r="P194" s="32" t="s">
        <v>813</v>
      </c>
      <c r="Q194" s="31">
        <f>7180</f>
        <v>7180</v>
      </c>
      <c r="R194" s="32" t="s">
        <v>818</v>
      </c>
      <c r="S194" s="33">
        <f>7044.21</f>
        <v>7044.21</v>
      </c>
      <c r="T194" s="30">
        <f>70323</f>
        <v>70323</v>
      </c>
      <c r="U194" s="30" t="str">
        <f>"－"</f>
        <v>－</v>
      </c>
      <c r="V194" s="30">
        <f>497870352</f>
        <v>497870352</v>
      </c>
      <c r="W194" s="30" t="str">
        <f>"－"</f>
        <v>－</v>
      </c>
      <c r="X194" s="34">
        <f>19</f>
        <v>19</v>
      </c>
    </row>
    <row r="195" spans="1:24" x14ac:dyDescent="0.15">
      <c r="A195" s="25" t="s">
        <v>971</v>
      </c>
      <c r="B195" s="25" t="s">
        <v>623</v>
      </c>
      <c r="C195" s="25" t="s">
        <v>624</v>
      </c>
      <c r="D195" s="25" t="s">
        <v>625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15905</f>
        <v>15905</v>
      </c>
      <c r="L195" s="32" t="s">
        <v>909</v>
      </c>
      <c r="M195" s="31">
        <f>16165</f>
        <v>16165</v>
      </c>
      <c r="N195" s="32" t="s">
        <v>80</v>
      </c>
      <c r="O195" s="31">
        <f>15070</f>
        <v>15070</v>
      </c>
      <c r="P195" s="32" t="s">
        <v>906</v>
      </c>
      <c r="Q195" s="31">
        <f>15435</f>
        <v>15435</v>
      </c>
      <c r="R195" s="32" t="s">
        <v>818</v>
      </c>
      <c r="S195" s="33">
        <f>15618.21</f>
        <v>15618.21</v>
      </c>
      <c r="T195" s="30">
        <f>199</f>
        <v>199</v>
      </c>
      <c r="U195" s="30" t="str">
        <f>"－"</f>
        <v>－</v>
      </c>
      <c r="V195" s="30">
        <f>3138790</f>
        <v>3138790</v>
      </c>
      <c r="W195" s="30" t="str">
        <f>"－"</f>
        <v>－</v>
      </c>
      <c r="X195" s="34">
        <f>14</f>
        <v>14</v>
      </c>
    </row>
    <row r="196" spans="1:24" x14ac:dyDescent="0.15">
      <c r="A196" s="25" t="s">
        <v>971</v>
      </c>
      <c r="B196" s="25" t="s">
        <v>626</v>
      </c>
      <c r="C196" s="25" t="s">
        <v>627</v>
      </c>
      <c r="D196" s="25" t="s">
        <v>628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22460</f>
        <v>22460</v>
      </c>
      <c r="L196" s="32" t="s">
        <v>909</v>
      </c>
      <c r="M196" s="31">
        <f>22675</f>
        <v>22675</v>
      </c>
      <c r="N196" s="32" t="s">
        <v>80</v>
      </c>
      <c r="O196" s="31">
        <f>20980</f>
        <v>20980</v>
      </c>
      <c r="P196" s="32" t="s">
        <v>87</v>
      </c>
      <c r="Q196" s="31">
        <f>22320</f>
        <v>22320</v>
      </c>
      <c r="R196" s="32" t="s">
        <v>818</v>
      </c>
      <c r="S196" s="33">
        <f>21889.47</f>
        <v>21889.47</v>
      </c>
      <c r="T196" s="30">
        <f>21429</f>
        <v>21429</v>
      </c>
      <c r="U196" s="30">
        <f>502</f>
        <v>502</v>
      </c>
      <c r="V196" s="30">
        <f>468045525</f>
        <v>468045525</v>
      </c>
      <c r="W196" s="30">
        <f>11302480</f>
        <v>11302480</v>
      </c>
      <c r="X196" s="34">
        <f>19</f>
        <v>19</v>
      </c>
    </row>
    <row r="197" spans="1:24" x14ac:dyDescent="0.15">
      <c r="A197" s="25" t="s">
        <v>971</v>
      </c>
      <c r="B197" s="25" t="s">
        <v>629</v>
      </c>
      <c r="C197" s="25" t="s">
        <v>630</v>
      </c>
      <c r="D197" s="25" t="s">
        <v>631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16025</f>
        <v>16025</v>
      </c>
      <c r="L197" s="32" t="s">
        <v>909</v>
      </c>
      <c r="M197" s="31">
        <f>16115</f>
        <v>16115</v>
      </c>
      <c r="N197" s="32" t="s">
        <v>909</v>
      </c>
      <c r="O197" s="31">
        <f>14625</f>
        <v>14625</v>
      </c>
      <c r="P197" s="32" t="s">
        <v>56</v>
      </c>
      <c r="Q197" s="31">
        <f>15510</f>
        <v>15510</v>
      </c>
      <c r="R197" s="32" t="s">
        <v>934</v>
      </c>
      <c r="S197" s="33">
        <f>15362.5</f>
        <v>15362.5</v>
      </c>
      <c r="T197" s="30">
        <f>723</f>
        <v>723</v>
      </c>
      <c r="U197" s="30" t="str">
        <f>"－"</f>
        <v>－</v>
      </c>
      <c r="V197" s="30">
        <f>10984265</f>
        <v>10984265</v>
      </c>
      <c r="W197" s="30" t="str">
        <f>"－"</f>
        <v>－</v>
      </c>
      <c r="X197" s="34">
        <f>16</f>
        <v>16</v>
      </c>
    </row>
    <row r="198" spans="1:24" x14ac:dyDescent="0.15">
      <c r="A198" s="25" t="s">
        <v>971</v>
      </c>
      <c r="B198" s="25" t="s">
        <v>632</v>
      </c>
      <c r="C198" s="25" t="s">
        <v>633</v>
      </c>
      <c r="D198" s="25" t="s">
        <v>634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18295</f>
        <v>18295</v>
      </c>
      <c r="L198" s="32" t="s">
        <v>909</v>
      </c>
      <c r="M198" s="31">
        <f>18330</f>
        <v>18330</v>
      </c>
      <c r="N198" s="32" t="s">
        <v>909</v>
      </c>
      <c r="O198" s="31">
        <f>15480</f>
        <v>15480</v>
      </c>
      <c r="P198" s="32" t="s">
        <v>819</v>
      </c>
      <c r="Q198" s="31">
        <f>16850</f>
        <v>16850</v>
      </c>
      <c r="R198" s="32" t="s">
        <v>818</v>
      </c>
      <c r="S198" s="33">
        <f>16301.84</f>
        <v>16301.84</v>
      </c>
      <c r="T198" s="30">
        <f>39484</f>
        <v>39484</v>
      </c>
      <c r="U198" s="30" t="str">
        <f>"－"</f>
        <v>－</v>
      </c>
      <c r="V198" s="30">
        <f>646910940</f>
        <v>646910940</v>
      </c>
      <c r="W198" s="30" t="str">
        <f>"－"</f>
        <v>－</v>
      </c>
      <c r="X198" s="34">
        <f>19</f>
        <v>19</v>
      </c>
    </row>
    <row r="199" spans="1:24" x14ac:dyDescent="0.15">
      <c r="A199" s="25" t="s">
        <v>971</v>
      </c>
      <c r="B199" s="25" t="s">
        <v>635</v>
      </c>
      <c r="C199" s="25" t="s">
        <v>636</v>
      </c>
      <c r="D199" s="25" t="s">
        <v>637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4620</f>
        <v>4620</v>
      </c>
      <c r="L199" s="32" t="s">
        <v>909</v>
      </c>
      <c r="M199" s="31">
        <f>4905</f>
        <v>4905</v>
      </c>
      <c r="N199" s="32" t="s">
        <v>813</v>
      </c>
      <c r="O199" s="31">
        <f>4470</f>
        <v>4470</v>
      </c>
      <c r="P199" s="32" t="s">
        <v>818</v>
      </c>
      <c r="Q199" s="31">
        <f>4485</f>
        <v>4485</v>
      </c>
      <c r="R199" s="32" t="s">
        <v>818</v>
      </c>
      <c r="S199" s="33">
        <f>4673.16</f>
        <v>4673.16</v>
      </c>
      <c r="T199" s="30">
        <f>11053</f>
        <v>11053</v>
      </c>
      <c r="U199" s="30" t="str">
        <f>"－"</f>
        <v>－</v>
      </c>
      <c r="V199" s="30">
        <f>52072465</f>
        <v>52072465</v>
      </c>
      <c r="W199" s="30" t="str">
        <f>"－"</f>
        <v>－</v>
      </c>
      <c r="X199" s="34">
        <f>19</f>
        <v>19</v>
      </c>
    </row>
    <row r="200" spans="1:24" x14ac:dyDescent="0.15">
      <c r="A200" s="25" t="s">
        <v>971</v>
      </c>
      <c r="B200" s="25" t="s">
        <v>638</v>
      </c>
      <c r="C200" s="25" t="s">
        <v>639</v>
      </c>
      <c r="D200" s="25" t="s">
        <v>640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13865</f>
        <v>13865</v>
      </c>
      <c r="L200" s="32" t="s">
        <v>909</v>
      </c>
      <c r="M200" s="31">
        <f>14390</f>
        <v>14390</v>
      </c>
      <c r="N200" s="32" t="s">
        <v>911</v>
      </c>
      <c r="O200" s="31">
        <f>13400</f>
        <v>13400</v>
      </c>
      <c r="P200" s="32" t="s">
        <v>816</v>
      </c>
      <c r="Q200" s="31">
        <f>13670</f>
        <v>13670</v>
      </c>
      <c r="R200" s="32" t="s">
        <v>815</v>
      </c>
      <c r="S200" s="33">
        <f>13818.5</f>
        <v>13818.5</v>
      </c>
      <c r="T200" s="30">
        <f>1811</f>
        <v>1811</v>
      </c>
      <c r="U200" s="30">
        <f>1</f>
        <v>1</v>
      </c>
      <c r="V200" s="30">
        <f>25282795</f>
        <v>25282795</v>
      </c>
      <c r="W200" s="30">
        <f>14155</f>
        <v>14155</v>
      </c>
      <c r="X200" s="34">
        <f>10</f>
        <v>10</v>
      </c>
    </row>
    <row r="201" spans="1:24" x14ac:dyDescent="0.15">
      <c r="A201" s="25" t="s">
        <v>971</v>
      </c>
      <c r="B201" s="25" t="s">
        <v>641</v>
      </c>
      <c r="C201" s="25" t="s">
        <v>642</v>
      </c>
      <c r="D201" s="25" t="s">
        <v>643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11900</f>
        <v>11900</v>
      </c>
      <c r="L201" s="32" t="s">
        <v>813</v>
      </c>
      <c r="M201" s="31">
        <f>12445</f>
        <v>12445</v>
      </c>
      <c r="N201" s="32" t="s">
        <v>818</v>
      </c>
      <c r="O201" s="31">
        <f>11900</f>
        <v>11900</v>
      </c>
      <c r="P201" s="32" t="s">
        <v>813</v>
      </c>
      <c r="Q201" s="31">
        <f>12445</f>
        <v>12445</v>
      </c>
      <c r="R201" s="32" t="s">
        <v>818</v>
      </c>
      <c r="S201" s="33">
        <f>12172.5</f>
        <v>12172.5</v>
      </c>
      <c r="T201" s="30">
        <f>11</f>
        <v>11</v>
      </c>
      <c r="U201" s="30" t="str">
        <f t="shared" ref="U201:U210" si="10">"－"</f>
        <v>－</v>
      </c>
      <c r="V201" s="30">
        <f>135805</f>
        <v>135805</v>
      </c>
      <c r="W201" s="30" t="str">
        <f t="shared" ref="W201:W210" si="11">"－"</f>
        <v>－</v>
      </c>
      <c r="X201" s="34">
        <f>2</f>
        <v>2</v>
      </c>
    </row>
    <row r="202" spans="1:24" x14ac:dyDescent="0.15">
      <c r="A202" s="25" t="s">
        <v>971</v>
      </c>
      <c r="B202" s="25" t="s">
        <v>644</v>
      </c>
      <c r="C202" s="25" t="s">
        <v>645</v>
      </c>
      <c r="D202" s="25" t="s">
        <v>646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16025</f>
        <v>16025</v>
      </c>
      <c r="L202" s="32" t="s">
        <v>905</v>
      </c>
      <c r="M202" s="31">
        <f>16030</f>
        <v>16030</v>
      </c>
      <c r="N202" s="32" t="s">
        <v>905</v>
      </c>
      <c r="O202" s="31">
        <f>15575</f>
        <v>15575</v>
      </c>
      <c r="P202" s="32" t="s">
        <v>813</v>
      </c>
      <c r="Q202" s="31">
        <f>16015</f>
        <v>16015</v>
      </c>
      <c r="R202" s="32" t="s">
        <v>818</v>
      </c>
      <c r="S202" s="33">
        <f>15811.43</f>
        <v>15811.43</v>
      </c>
      <c r="T202" s="30">
        <f>189</f>
        <v>189</v>
      </c>
      <c r="U202" s="30" t="str">
        <f t="shared" si="10"/>
        <v>－</v>
      </c>
      <c r="V202" s="30">
        <f>3014290</f>
        <v>3014290</v>
      </c>
      <c r="W202" s="30" t="str">
        <f t="shared" si="11"/>
        <v>－</v>
      </c>
      <c r="X202" s="34">
        <f>7</f>
        <v>7</v>
      </c>
    </row>
    <row r="203" spans="1:24" x14ac:dyDescent="0.15">
      <c r="A203" s="25" t="s">
        <v>971</v>
      </c>
      <c r="B203" s="25" t="s">
        <v>647</v>
      </c>
      <c r="C203" s="25" t="s">
        <v>648</v>
      </c>
      <c r="D203" s="25" t="s">
        <v>649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15800</f>
        <v>15800</v>
      </c>
      <c r="L203" s="32" t="s">
        <v>909</v>
      </c>
      <c r="M203" s="31">
        <f>15815</f>
        <v>15815</v>
      </c>
      <c r="N203" s="32" t="s">
        <v>934</v>
      </c>
      <c r="O203" s="31">
        <f>15540</f>
        <v>15540</v>
      </c>
      <c r="P203" s="32" t="s">
        <v>813</v>
      </c>
      <c r="Q203" s="31">
        <f>15610</f>
        <v>15610</v>
      </c>
      <c r="R203" s="32" t="s">
        <v>934</v>
      </c>
      <c r="S203" s="33">
        <f>15650</f>
        <v>15650</v>
      </c>
      <c r="T203" s="30">
        <f>1464</f>
        <v>1464</v>
      </c>
      <c r="U203" s="30" t="str">
        <f t="shared" si="10"/>
        <v>－</v>
      </c>
      <c r="V203" s="30">
        <f>22855590</f>
        <v>22855590</v>
      </c>
      <c r="W203" s="30" t="str">
        <f t="shared" si="11"/>
        <v>－</v>
      </c>
      <c r="X203" s="34">
        <f>3</f>
        <v>3</v>
      </c>
    </row>
    <row r="204" spans="1:24" x14ac:dyDescent="0.15">
      <c r="A204" s="25" t="s">
        <v>971</v>
      </c>
      <c r="B204" s="25" t="s">
        <v>650</v>
      </c>
      <c r="C204" s="25" t="s">
        <v>651</v>
      </c>
      <c r="D204" s="25" t="s">
        <v>652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12710</f>
        <v>12710</v>
      </c>
      <c r="L204" s="32" t="s">
        <v>911</v>
      </c>
      <c r="M204" s="31">
        <f>12950</f>
        <v>12950</v>
      </c>
      <c r="N204" s="32" t="s">
        <v>934</v>
      </c>
      <c r="O204" s="31">
        <f>12655</f>
        <v>12655</v>
      </c>
      <c r="P204" s="32" t="s">
        <v>87</v>
      </c>
      <c r="Q204" s="31">
        <f>12880</f>
        <v>12880</v>
      </c>
      <c r="R204" s="32" t="s">
        <v>818</v>
      </c>
      <c r="S204" s="33">
        <f>12794.17</f>
        <v>12794.17</v>
      </c>
      <c r="T204" s="30">
        <f>314</f>
        <v>314</v>
      </c>
      <c r="U204" s="30" t="str">
        <f t="shared" si="10"/>
        <v>－</v>
      </c>
      <c r="V204" s="30">
        <f>4042255</f>
        <v>4042255</v>
      </c>
      <c r="W204" s="30" t="str">
        <f t="shared" si="11"/>
        <v>－</v>
      </c>
      <c r="X204" s="34">
        <f>6</f>
        <v>6</v>
      </c>
    </row>
    <row r="205" spans="1:24" x14ac:dyDescent="0.15">
      <c r="A205" s="25" t="s">
        <v>971</v>
      </c>
      <c r="B205" s="25" t="s">
        <v>653</v>
      </c>
      <c r="C205" s="25" t="s">
        <v>654</v>
      </c>
      <c r="D205" s="25" t="s">
        <v>655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14285</f>
        <v>14285</v>
      </c>
      <c r="L205" s="32" t="s">
        <v>909</v>
      </c>
      <c r="M205" s="31">
        <f>15075</f>
        <v>15075</v>
      </c>
      <c r="N205" s="32" t="s">
        <v>934</v>
      </c>
      <c r="O205" s="31">
        <f>14285</f>
        <v>14285</v>
      </c>
      <c r="P205" s="32" t="s">
        <v>909</v>
      </c>
      <c r="Q205" s="31">
        <f>15075</f>
        <v>15075</v>
      </c>
      <c r="R205" s="32" t="s">
        <v>934</v>
      </c>
      <c r="S205" s="33">
        <f>14680</f>
        <v>14680</v>
      </c>
      <c r="T205" s="30">
        <f>51</f>
        <v>51</v>
      </c>
      <c r="U205" s="30" t="str">
        <f t="shared" si="10"/>
        <v>－</v>
      </c>
      <c r="V205" s="30">
        <f>729325</f>
        <v>729325</v>
      </c>
      <c r="W205" s="30" t="str">
        <f t="shared" si="11"/>
        <v>－</v>
      </c>
      <c r="X205" s="34">
        <f>2</f>
        <v>2</v>
      </c>
    </row>
    <row r="206" spans="1:24" x14ac:dyDescent="0.15">
      <c r="A206" s="25" t="s">
        <v>971</v>
      </c>
      <c r="B206" s="25" t="s">
        <v>656</v>
      </c>
      <c r="C206" s="25" t="s">
        <v>657</v>
      </c>
      <c r="D206" s="25" t="s">
        <v>658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 t="str">
        <f>"－"</f>
        <v>－</v>
      </c>
      <c r="L206" s="32"/>
      <c r="M206" s="31" t="str">
        <f>"－"</f>
        <v>－</v>
      </c>
      <c r="N206" s="32"/>
      <c r="O206" s="31" t="str">
        <f>"－"</f>
        <v>－</v>
      </c>
      <c r="P206" s="32"/>
      <c r="Q206" s="31" t="str">
        <f>"－"</f>
        <v>－</v>
      </c>
      <c r="R206" s="32"/>
      <c r="S206" s="33" t="str">
        <f>"－"</f>
        <v>－</v>
      </c>
      <c r="T206" s="30" t="str">
        <f>"－"</f>
        <v>－</v>
      </c>
      <c r="U206" s="30" t="str">
        <f t="shared" si="10"/>
        <v>－</v>
      </c>
      <c r="V206" s="30" t="str">
        <f>"－"</f>
        <v>－</v>
      </c>
      <c r="W206" s="30" t="str">
        <f t="shared" si="11"/>
        <v>－</v>
      </c>
      <c r="X206" s="34" t="str">
        <f>"－"</f>
        <v>－</v>
      </c>
    </row>
    <row r="207" spans="1:24" x14ac:dyDescent="0.15">
      <c r="A207" s="25" t="s">
        <v>971</v>
      </c>
      <c r="B207" s="25" t="s">
        <v>659</v>
      </c>
      <c r="C207" s="25" t="s">
        <v>660</v>
      </c>
      <c r="D207" s="25" t="s">
        <v>661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9196</f>
        <v>9196</v>
      </c>
      <c r="L207" s="32" t="s">
        <v>909</v>
      </c>
      <c r="M207" s="31">
        <f>9323</f>
        <v>9323</v>
      </c>
      <c r="N207" s="32" t="s">
        <v>80</v>
      </c>
      <c r="O207" s="31">
        <f>9157</f>
        <v>9157</v>
      </c>
      <c r="P207" s="32" t="s">
        <v>812</v>
      </c>
      <c r="Q207" s="31">
        <f>9294</f>
        <v>9294</v>
      </c>
      <c r="R207" s="32" t="s">
        <v>818</v>
      </c>
      <c r="S207" s="33">
        <f>9261.25</f>
        <v>9261.25</v>
      </c>
      <c r="T207" s="30">
        <f>5245</f>
        <v>5245</v>
      </c>
      <c r="U207" s="30" t="str">
        <f t="shared" si="10"/>
        <v>－</v>
      </c>
      <c r="V207" s="30">
        <f>48628370</f>
        <v>48628370</v>
      </c>
      <c r="W207" s="30" t="str">
        <f t="shared" si="11"/>
        <v>－</v>
      </c>
      <c r="X207" s="34">
        <f>8</f>
        <v>8</v>
      </c>
    </row>
    <row r="208" spans="1:24" x14ac:dyDescent="0.15">
      <c r="A208" s="25" t="s">
        <v>971</v>
      </c>
      <c r="B208" s="25" t="s">
        <v>662</v>
      </c>
      <c r="C208" s="25" t="s">
        <v>663</v>
      </c>
      <c r="D208" s="25" t="s">
        <v>664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9804</f>
        <v>9804</v>
      </c>
      <c r="L208" s="32" t="s">
        <v>909</v>
      </c>
      <c r="M208" s="31">
        <f>10040</f>
        <v>10040</v>
      </c>
      <c r="N208" s="32" t="s">
        <v>934</v>
      </c>
      <c r="O208" s="31">
        <f>9450</f>
        <v>9450</v>
      </c>
      <c r="P208" s="32" t="s">
        <v>813</v>
      </c>
      <c r="Q208" s="31">
        <f>10040</f>
        <v>10040</v>
      </c>
      <c r="R208" s="32" t="s">
        <v>818</v>
      </c>
      <c r="S208" s="33">
        <f>9768.88</f>
        <v>9768.8799999999992</v>
      </c>
      <c r="T208" s="30">
        <f>7217</f>
        <v>7217</v>
      </c>
      <c r="U208" s="30" t="str">
        <f t="shared" si="10"/>
        <v>－</v>
      </c>
      <c r="V208" s="30">
        <f>70915564</f>
        <v>70915564</v>
      </c>
      <c r="W208" s="30" t="str">
        <f t="shared" si="11"/>
        <v>－</v>
      </c>
      <c r="X208" s="34">
        <f>17</f>
        <v>17</v>
      </c>
    </row>
    <row r="209" spans="1:24" x14ac:dyDescent="0.15">
      <c r="A209" s="25" t="s">
        <v>971</v>
      </c>
      <c r="B209" s="25" t="s">
        <v>665</v>
      </c>
      <c r="C209" s="25" t="s">
        <v>666</v>
      </c>
      <c r="D209" s="25" t="s">
        <v>667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9278</f>
        <v>9278</v>
      </c>
      <c r="L209" s="32" t="s">
        <v>819</v>
      </c>
      <c r="M209" s="31">
        <f>9332</f>
        <v>9332</v>
      </c>
      <c r="N209" s="32" t="s">
        <v>935</v>
      </c>
      <c r="O209" s="31">
        <f>9143</f>
        <v>9143</v>
      </c>
      <c r="P209" s="32" t="s">
        <v>815</v>
      </c>
      <c r="Q209" s="31">
        <f>9301</f>
        <v>9301</v>
      </c>
      <c r="R209" s="32" t="s">
        <v>934</v>
      </c>
      <c r="S209" s="33">
        <f>9265.17</f>
        <v>9265.17</v>
      </c>
      <c r="T209" s="30">
        <f>6392</f>
        <v>6392</v>
      </c>
      <c r="U209" s="30" t="str">
        <f t="shared" si="10"/>
        <v>－</v>
      </c>
      <c r="V209" s="30">
        <f>59124084</f>
        <v>59124084</v>
      </c>
      <c r="W209" s="30" t="str">
        <f t="shared" si="11"/>
        <v>－</v>
      </c>
      <c r="X209" s="34">
        <f>6</f>
        <v>6</v>
      </c>
    </row>
    <row r="210" spans="1:24" x14ac:dyDescent="0.15">
      <c r="A210" s="25" t="s">
        <v>971</v>
      </c>
      <c r="B210" s="25" t="s">
        <v>945</v>
      </c>
      <c r="C210" s="25" t="s">
        <v>946</v>
      </c>
      <c r="D210" s="25" t="s">
        <v>947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10050</f>
        <v>10050</v>
      </c>
      <c r="L210" s="32" t="s">
        <v>909</v>
      </c>
      <c r="M210" s="31">
        <f>10050</f>
        <v>10050</v>
      </c>
      <c r="N210" s="32" t="s">
        <v>909</v>
      </c>
      <c r="O210" s="31">
        <f>9810</f>
        <v>9810</v>
      </c>
      <c r="P210" s="32" t="s">
        <v>266</v>
      </c>
      <c r="Q210" s="31">
        <f>10020</f>
        <v>10020</v>
      </c>
      <c r="R210" s="32" t="s">
        <v>818</v>
      </c>
      <c r="S210" s="33">
        <f>9955.8</f>
        <v>9955.7999999999993</v>
      </c>
      <c r="T210" s="30">
        <f>139</f>
        <v>139</v>
      </c>
      <c r="U210" s="30" t="str">
        <f t="shared" si="10"/>
        <v>－</v>
      </c>
      <c r="V210" s="30">
        <f>1368696</f>
        <v>1368696</v>
      </c>
      <c r="W210" s="30" t="str">
        <f t="shared" si="11"/>
        <v>－</v>
      </c>
      <c r="X210" s="34">
        <f>5</f>
        <v>5</v>
      </c>
    </row>
    <row r="211" spans="1:24" x14ac:dyDescent="0.15">
      <c r="A211" s="25" t="s">
        <v>971</v>
      </c>
      <c r="B211" s="25" t="s">
        <v>668</v>
      </c>
      <c r="C211" s="25" t="s">
        <v>669</v>
      </c>
      <c r="D211" s="25" t="s">
        <v>670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973.4</f>
        <v>973.4</v>
      </c>
      <c r="L211" s="32" t="s">
        <v>909</v>
      </c>
      <c r="M211" s="31">
        <f>975</f>
        <v>975</v>
      </c>
      <c r="N211" s="32" t="s">
        <v>815</v>
      </c>
      <c r="O211" s="31">
        <f>967.5</f>
        <v>967.5</v>
      </c>
      <c r="P211" s="32" t="s">
        <v>821</v>
      </c>
      <c r="Q211" s="31">
        <f>970.9</f>
        <v>970.9</v>
      </c>
      <c r="R211" s="32" t="s">
        <v>818</v>
      </c>
      <c r="S211" s="33">
        <f>971.02</f>
        <v>971.02</v>
      </c>
      <c r="T211" s="30">
        <f>1729700</f>
        <v>1729700</v>
      </c>
      <c r="U211" s="30">
        <f>767830</f>
        <v>767830</v>
      </c>
      <c r="V211" s="30">
        <f>1680997404</f>
        <v>1680997404</v>
      </c>
      <c r="W211" s="30">
        <f>746049577</f>
        <v>746049577</v>
      </c>
      <c r="X211" s="34">
        <f>19</f>
        <v>19</v>
      </c>
    </row>
    <row r="212" spans="1:24" x14ac:dyDescent="0.15">
      <c r="A212" s="25" t="s">
        <v>971</v>
      </c>
      <c r="B212" s="25" t="s">
        <v>671</v>
      </c>
      <c r="C212" s="25" t="s">
        <v>672</v>
      </c>
      <c r="D212" s="25" t="s">
        <v>673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1017.5</f>
        <v>1017.5</v>
      </c>
      <c r="L212" s="32" t="s">
        <v>909</v>
      </c>
      <c r="M212" s="31">
        <f>1017.5</f>
        <v>1017.5</v>
      </c>
      <c r="N212" s="32" t="s">
        <v>909</v>
      </c>
      <c r="O212" s="31">
        <f>990.1</f>
        <v>990.1</v>
      </c>
      <c r="P212" s="32" t="s">
        <v>816</v>
      </c>
      <c r="Q212" s="31">
        <f>1000.5</f>
        <v>1000.5</v>
      </c>
      <c r="R212" s="32" t="s">
        <v>818</v>
      </c>
      <c r="S212" s="33">
        <f>1000.01</f>
        <v>1000.01</v>
      </c>
      <c r="T212" s="30">
        <f>1000850</f>
        <v>1000850</v>
      </c>
      <c r="U212" s="30">
        <f>383800</f>
        <v>383800</v>
      </c>
      <c r="V212" s="30">
        <f>1002839888</f>
        <v>1002839888</v>
      </c>
      <c r="W212" s="30">
        <f>385685384</f>
        <v>385685384</v>
      </c>
      <c r="X212" s="34">
        <f>19</f>
        <v>19</v>
      </c>
    </row>
    <row r="213" spans="1:24" x14ac:dyDescent="0.15">
      <c r="A213" s="25" t="s">
        <v>971</v>
      </c>
      <c r="B213" s="25" t="s">
        <v>674</v>
      </c>
      <c r="C213" s="25" t="s">
        <v>675</v>
      </c>
      <c r="D213" s="25" t="s">
        <v>676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920</f>
        <v>920</v>
      </c>
      <c r="L213" s="32" t="s">
        <v>909</v>
      </c>
      <c r="M213" s="31">
        <f>922</f>
        <v>922</v>
      </c>
      <c r="N213" s="32" t="s">
        <v>266</v>
      </c>
      <c r="O213" s="31">
        <f>899.9</f>
        <v>899.9</v>
      </c>
      <c r="P213" s="32" t="s">
        <v>911</v>
      </c>
      <c r="Q213" s="31">
        <f>909.6</f>
        <v>909.6</v>
      </c>
      <c r="R213" s="32" t="s">
        <v>818</v>
      </c>
      <c r="S213" s="33">
        <f>912.75</f>
        <v>912.75</v>
      </c>
      <c r="T213" s="30">
        <f>5939100</f>
        <v>5939100</v>
      </c>
      <c r="U213" s="30">
        <f>4028420</f>
        <v>4028420</v>
      </c>
      <c r="V213" s="30">
        <f>5410437505</f>
        <v>5410437505</v>
      </c>
      <c r="W213" s="30">
        <f>3668894266</f>
        <v>3668894266</v>
      </c>
      <c r="X213" s="34">
        <f>19</f>
        <v>19</v>
      </c>
    </row>
    <row r="214" spans="1:24" x14ac:dyDescent="0.15">
      <c r="A214" s="25" t="s">
        <v>971</v>
      </c>
      <c r="B214" s="25" t="s">
        <v>677</v>
      </c>
      <c r="C214" s="25" t="s">
        <v>678</v>
      </c>
      <c r="D214" s="25" t="s">
        <v>679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1665</f>
        <v>1665</v>
      </c>
      <c r="L214" s="32" t="s">
        <v>909</v>
      </c>
      <c r="M214" s="31">
        <f>1666</f>
        <v>1666</v>
      </c>
      <c r="N214" s="32" t="s">
        <v>909</v>
      </c>
      <c r="O214" s="31">
        <f>1537</f>
        <v>1537</v>
      </c>
      <c r="P214" s="32" t="s">
        <v>816</v>
      </c>
      <c r="Q214" s="31">
        <f>1645</f>
        <v>1645</v>
      </c>
      <c r="R214" s="32" t="s">
        <v>818</v>
      </c>
      <c r="S214" s="33">
        <f>1591.76</f>
        <v>1591.76</v>
      </c>
      <c r="T214" s="30">
        <f>1014400</f>
        <v>1014400</v>
      </c>
      <c r="U214" s="30">
        <f>374060</f>
        <v>374060</v>
      </c>
      <c r="V214" s="30">
        <f>1613808221</f>
        <v>1613808221</v>
      </c>
      <c r="W214" s="30">
        <f>597956991</f>
        <v>597956991</v>
      </c>
      <c r="X214" s="34">
        <f>19</f>
        <v>19</v>
      </c>
    </row>
    <row r="215" spans="1:24" x14ac:dyDescent="0.15">
      <c r="A215" s="25" t="s">
        <v>971</v>
      </c>
      <c r="B215" s="25" t="s">
        <v>680</v>
      </c>
      <c r="C215" s="25" t="s">
        <v>681</v>
      </c>
      <c r="D215" s="25" t="s">
        <v>682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1406.5</f>
        <v>1406.5</v>
      </c>
      <c r="L215" s="32" t="s">
        <v>909</v>
      </c>
      <c r="M215" s="31">
        <f>1422.5</f>
        <v>1422.5</v>
      </c>
      <c r="N215" s="32" t="s">
        <v>909</v>
      </c>
      <c r="O215" s="31">
        <f>1313.5</f>
        <v>1313.5</v>
      </c>
      <c r="P215" s="32" t="s">
        <v>813</v>
      </c>
      <c r="Q215" s="31">
        <f>1404</f>
        <v>1404</v>
      </c>
      <c r="R215" s="32" t="s">
        <v>818</v>
      </c>
      <c r="S215" s="33">
        <f>1359.71</f>
        <v>1359.71</v>
      </c>
      <c r="T215" s="30">
        <f>304400</f>
        <v>304400</v>
      </c>
      <c r="U215" s="30">
        <f>102750</f>
        <v>102750</v>
      </c>
      <c r="V215" s="30">
        <f>411051968</f>
        <v>411051968</v>
      </c>
      <c r="W215" s="30">
        <f>139338773</f>
        <v>139338773</v>
      </c>
      <c r="X215" s="34">
        <f>19</f>
        <v>19</v>
      </c>
    </row>
    <row r="216" spans="1:24" x14ac:dyDescent="0.15">
      <c r="A216" s="25" t="s">
        <v>971</v>
      </c>
      <c r="B216" s="25" t="s">
        <v>683</v>
      </c>
      <c r="C216" s="25" t="s">
        <v>684</v>
      </c>
      <c r="D216" s="25" t="s">
        <v>685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1390</f>
        <v>1390</v>
      </c>
      <c r="L216" s="32" t="s">
        <v>909</v>
      </c>
      <c r="M216" s="31">
        <f>1395</f>
        <v>1395</v>
      </c>
      <c r="N216" s="32" t="s">
        <v>909</v>
      </c>
      <c r="O216" s="31">
        <f>1220</f>
        <v>1220</v>
      </c>
      <c r="P216" s="32" t="s">
        <v>56</v>
      </c>
      <c r="Q216" s="31">
        <f>1286</f>
        <v>1286</v>
      </c>
      <c r="R216" s="32" t="s">
        <v>818</v>
      </c>
      <c r="S216" s="33">
        <f>1262.26</f>
        <v>1262.26</v>
      </c>
      <c r="T216" s="30">
        <f>683360</f>
        <v>683360</v>
      </c>
      <c r="U216" s="30">
        <f>56370</f>
        <v>56370</v>
      </c>
      <c r="V216" s="30">
        <f>870555814</f>
        <v>870555814</v>
      </c>
      <c r="W216" s="30">
        <f>70377554</f>
        <v>70377554</v>
      </c>
      <c r="X216" s="34">
        <f>19</f>
        <v>19</v>
      </c>
    </row>
    <row r="217" spans="1:24" x14ac:dyDescent="0.15">
      <c r="A217" s="25" t="s">
        <v>971</v>
      </c>
      <c r="B217" s="25" t="s">
        <v>686</v>
      </c>
      <c r="C217" s="25" t="s">
        <v>687</v>
      </c>
      <c r="D217" s="25" t="s">
        <v>688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529</f>
        <v>529</v>
      </c>
      <c r="L217" s="32" t="s">
        <v>909</v>
      </c>
      <c r="M217" s="31">
        <f>537.3</f>
        <v>537.29999999999995</v>
      </c>
      <c r="N217" s="32" t="s">
        <v>909</v>
      </c>
      <c r="O217" s="31">
        <f>478.6</f>
        <v>478.6</v>
      </c>
      <c r="P217" s="32" t="s">
        <v>813</v>
      </c>
      <c r="Q217" s="31">
        <f>517.9</f>
        <v>517.9</v>
      </c>
      <c r="R217" s="32" t="s">
        <v>818</v>
      </c>
      <c r="S217" s="33">
        <f>506.49</f>
        <v>506.49</v>
      </c>
      <c r="T217" s="30">
        <f>57192110</f>
        <v>57192110</v>
      </c>
      <c r="U217" s="30">
        <f>17860</f>
        <v>17860</v>
      </c>
      <c r="V217" s="30">
        <f>28906387739</f>
        <v>28906387739</v>
      </c>
      <c r="W217" s="30">
        <f>9155667</f>
        <v>9155667</v>
      </c>
      <c r="X217" s="34">
        <f>19</f>
        <v>19</v>
      </c>
    </row>
    <row r="218" spans="1:24" x14ac:dyDescent="0.15">
      <c r="A218" s="25" t="s">
        <v>971</v>
      </c>
      <c r="B218" s="25" t="s">
        <v>689</v>
      </c>
      <c r="C218" s="25" t="s">
        <v>690</v>
      </c>
      <c r="D218" s="25" t="s">
        <v>691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1161.5</f>
        <v>1161.5</v>
      </c>
      <c r="L218" s="32" t="s">
        <v>909</v>
      </c>
      <c r="M218" s="31">
        <f>1182.5</f>
        <v>1182.5</v>
      </c>
      <c r="N218" s="32" t="s">
        <v>909</v>
      </c>
      <c r="O218" s="31">
        <f>1115.5</f>
        <v>1115.5</v>
      </c>
      <c r="P218" s="32" t="s">
        <v>813</v>
      </c>
      <c r="Q218" s="31">
        <f>1177</f>
        <v>1177</v>
      </c>
      <c r="R218" s="32" t="s">
        <v>818</v>
      </c>
      <c r="S218" s="33">
        <f>1160.68</f>
        <v>1160.68</v>
      </c>
      <c r="T218" s="30">
        <f>113380</f>
        <v>113380</v>
      </c>
      <c r="U218" s="30">
        <f>20</f>
        <v>20</v>
      </c>
      <c r="V218" s="30">
        <f>130910140</f>
        <v>130910140</v>
      </c>
      <c r="W218" s="30">
        <f>23235</f>
        <v>23235</v>
      </c>
      <c r="X218" s="34">
        <f>19</f>
        <v>19</v>
      </c>
    </row>
    <row r="219" spans="1:24" x14ac:dyDescent="0.15">
      <c r="A219" s="25" t="s">
        <v>971</v>
      </c>
      <c r="B219" s="25" t="s">
        <v>692</v>
      </c>
      <c r="C219" s="25" t="s">
        <v>693</v>
      </c>
      <c r="D219" s="25" t="s">
        <v>694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1085</f>
        <v>1085</v>
      </c>
      <c r="L219" s="32" t="s">
        <v>909</v>
      </c>
      <c r="M219" s="31">
        <f>1090</f>
        <v>1090</v>
      </c>
      <c r="N219" s="32" t="s">
        <v>934</v>
      </c>
      <c r="O219" s="31">
        <f>1032</f>
        <v>1032</v>
      </c>
      <c r="P219" s="32" t="s">
        <v>813</v>
      </c>
      <c r="Q219" s="31">
        <f>1084</f>
        <v>1084</v>
      </c>
      <c r="R219" s="32" t="s">
        <v>818</v>
      </c>
      <c r="S219" s="33">
        <f>1063.47</f>
        <v>1063.47</v>
      </c>
      <c r="T219" s="30">
        <f>34058</f>
        <v>34058</v>
      </c>
      <c r="U219" s="30" t="str">
        <f>"－"</f>
        <v>－</v>
      </c>
      <c r="V219" s="30">
        <f>35984015</f>
        <v>35984015</v>
      </c>
      <c r="W219" s="30" t="str">
        <f>"－"</f>
        <v>－</v>
      </c>
      <c r="X219" s="34">
        <f>19</f>
        <v>19</v>
      </c>
    </row>
    <row r="220" spans="1:24" x14ac:dyDescent="0.15">
      <c r="A220" s="25" t="s">
        <v>971</v>
      </c>
      <c r="B220" s="25" t="s">
        <v>696</v>
      </c>
      <c r="C220" s="25" t="s">
        <v>697</v>
      </c>
      <c r="D220" s="25" t="s">
        <v>698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940</f>
        <v>940</v>
      </c>
      <c r="L220" s="32" t="s">
        <v>909</v>
      </c>
      <c r="M220" s="31">
        <f>940</f>
        <v>940</v>
      </c>
      <c r="N220" s="32" t="s">
        <v>909</v>
      </c>
      <c r="O220" s="31">
        <f>891.1</f>
        <v>891.1</v>
      </c>
      <c r="P220" s="32" t="s">
        <v>935</v>
      </c>
      <c r="Q220" s="31">
        <f>913.4</f>
        <v>913.4</v>
      </c>
      <c r="R220" s="32" t="s">
        <v>818</v>
      </c>
      <c r="S220" s="33">
        <f>911.8</f>
        <v>911.8</v>
      </c>
      <c r="T220" s="30">
        <f>35900</f>
        <v>35900</v>
      </c>
      <c r="U220" s="30" t="str">
        <f>"－"</f>
        <v>－</v>
      </c>
      <c r="V220" s="30">
        <f>32770111</f>
        <v>32770111</v>
      </c>
      <c r="W220" s="30" t="str">
        <f>"－"</f>
        <v>－</v>
      </c>
      <c r="X220" s="34">
        <f>19</f>
        <v>19</v>
      </c>
    </row>
    <row r="221" spans="1:24" x14ac:dyDescent="0.15">
      <c r="A221" s="25" t="s">
        <v>971</v>
      </c>
      <c r="B221" s="25" t="s">
        <v>699</v>
      </c>
      <c r="C221" s="25" t="s">
        <v>700</v>
      </c>
      <c r="D221" s="25" t="s">
        <v>701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1183</f>
        <v>1183</v>
      </c>
      <c r="L221" s="32" t="s">
        <v>909</v>
      </c>
      <c r="M221" s="31">
        <f>1227</f>
        <v>1227</v>
      </c>
      <c r="N221" s="32" t="s">
        <v>80</v>
      </c>
      <c r="O221" s="31">
        <f>1104</f>
        <v>1104</v>
      </c>
      <c r="P221" s="32" t="s">
        <v>56</v>
      </c>
      <c r="Q221" s="31">
        <f>1197</f>
        <v>1197</v>
      </c>
      <c r="R221" s="32" t="s">
        <v>818</v>
      </c>
      <c r="S221" s="33">
        <f>1146.66</f>
        <v>1146.6600000000001</v>
      </c>
      <c r="T221" s="30">
        <f>157300</f>
        <v>157300</v>
      </c>
      <c r="U221" s="30" t="str">
        <f>"－"</f>
        <v>－</v>
      </c>
      <c r="V221" s="30">
        <f>179733660</f>
        <v>179733660</v>
      </c>
      <c r="W221" s="30" t="str">
        <f>"－"</f>
        <v>－</v>
      </c>
      <c r="X221" s="34">
        <f>19</f>
        <v>19</v>
      </c>
    </row>
    <row r="222" spans="1:24" x14ac:dyDescent="0.15">
      <c r="A222" s="25" t="s">
        <v>971</v>
      </c>
      <c r="B222" s="25" t="s">
        <v>702</v>
      </c>
      <c r="C222" s="25" t="s">
        <v>703</v>
      </c>
      <c r="D222" s="25" t="s">
        <v>704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1437</f>
        <v>1437</v>
      </c>
      <c r="L222" s="32" t="s">
        <v>909</v>
      </c>
      <c r="M222" s="31">
        <f>1454</f>
        <v>1454</v>
      </c>
      <c r="N222" s="32" t="s">
        <v>934</v>
      </c>
      <c r="O222" s="31">
        <f>1354</f>
        <v>1354</v>
      </c>
      <c r="P222" s="32" t="s">
        <v>816</v>
      </c>
      <c r="Q222" s="31">
        <f>1444</f>
        <v>1444</v>
      </c>
      <c r="R222" s="32" t="s">
        <v>818</v>
      </c>
      <c r="S222" s="33">
        <f>1396.5</f>
        <v>1396.5</v>
      </c>
      <c r="T222" s="30">
        <f>15809630</f>
        <v>15809630</v>
      </c>
      <c r="U222" s="30">
        <f>5413020</f>
        <v>5413020</v>
      </c>
      <c r="V222" s="30">
        <f>22137687324</f>
        <v>22137687324</v>
      </c>
      <c r="W222" s="30">
        <f>7615672729</f>
        <v>7615672729</v>
      </c>
      <c r="X222" s="34">
        <f>19</f>
        <v>19</v>
      </c>
    </row>
    <row r="223" spans="1:24" x14ac:dyDescent="0.15">
      <c r="A223" s="25" t="s">
        <v>971</v>
      </c>
      <c r="B223" s="25" t="s">
        <v>705</v>
      </c>
      <c r="C223" s="25" t="s">
        <v>706</v>
      </c>
      <c r="D223" s="25" t="s">
        <v>707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3455</f>
        <v>3455</v>
      </c>
      <c r="L223" s="32" t="s">
        <v>909</v>
      </c>
      <c r="M223" s="31">
        <f>3610</f>
        <v>3610</v>
      </c>
      <c r="N223" s="32" t="s">
        <v>909</v>
      </c>
      <c r="O223" s="31">
        <f>3245</f>
        <v>3245</v>
      </c>
      <c r="P223" s="32" t="s">
        <v>813</v>
      </c>
      <c r="Q223" s="31">
        <f>3555</f>
        <v>3555</v>
      </c>
      <c r="R223" s="32" t="s">
        <v>818</v>
      </c>
      <c r="S223" s="33">
        <f>3405.26</f>
        <v>3405.26</v>
      </c>
      <c r="T223" s="30">
        <f>47423</f>
        <v>47423</v>
      </c>
      <c r="U223" s="30" t="str">
        <f>"－"</f>
        <v>－</v>
      </c>
      <c r="V223" s="30">
        <f>161044055</f>
        <v>161044055</v>
      </c>
      <c r="W223" s="30" t="str">
        <f>"－"</f>
        <v>－</v>
      </c>
      <c r="X223" s="34">
        <f>19</f>
        <v>19</v>
      </c>
    </row>
    <row r="224" spans="1:24" x14ac:dyDescent="0.15">
      <c r="A224" s="25" t="s">
        <v>971</v>
      </c>
      <c r="B224" s="25" t="s">
        <v>708</v>
      </c>
      <c r="C224" s="25" t="s">
        <v>709</v>
      </c>
      <c r="D224" s="25" t="s">
        <v>710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1592.5</f>
        <v>1592.5</v>
      </c>
      <c r="L224" s="32" t="s">
        <v>909</v>
      </c>
      <c r="M224" s="31">
        <f>1680</f>
        <v>1680</v>
      </c>
      <c r="N224" s="32" t="s">
        <v>934</v>
      </c>
      <c r="O224" s="31">
        <f>1523</f>
        <v>1523</v>
      </c>
      <c r="P224" s="32" t="s">
        <v>821</v>
      </c>
      <c r="Q224" s="31">
        <f>1585</f>
        <v>1585</v>
      </c>
      <c r="R224" s="32" t="s">
        <v>818</v>
      </c>
      <c r="S224" s="33">
        <f>1576.16</f>
        <v>1576.16</v>
      </c>
      <c r="T224" s="30">
        <f>4680</f>
        <v>4680</v>
      </c>
      <c r="U224" s="30" t="str">
        <f>"－"</f>
        <v>－</v>
      </c>
      <c r="V224" s="30">
        <f>7378640</f>
        <v>7378640</v>
      </c>
      <c r="W224" s="30" t="str">
        <f>"－"</f>
        <v>－</v>
      </c>
      <c r="X224" s="34">
        <f>16</f>
        <v>16</v>
      </c>
    </row>
    <row r="225" spans="1:24" x14ac:dyDescent="0.15">
      <c r="A225" s="25" t="s">
        <v>971</v>
      </c>
      <c r="B225" s="25" t="s">
        <v>711</v>
      </c>
      <c r="C225" s="25" t="s">
        <v>712</v>
      </c>
      <c r="D225" s="25" t="s">
        <v>713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1944</f>
        <v>1944</v>
      </c>
      <c r="L225" s="32" t="s">
        <v>909</v>
      </c>
      <c r="M225" s="31">
        <f>1984</f>
        <v>1984</v>
      </c>
      <c r="N225" s="32" t="s">
        <v>909</v>
      </c>
      <c r="O225" s="31">
        <f>1887</f>
        <v>1887</v>
      </c>
      <c r="P225" s="32" t="s">
        <v>813</v>
      </c>
      <c r="Q225" s="31">
        <f>1966</f>
        <v>1966</v>
      </c>
      <c r="R225" s="32" t="s">
        <v>818</v>
      </c>
      <c r="S225" s="33">
        <f>1921.14</f>
        <v>1921.14</v>
      </c>
      <c r="T225" s="30">
        <f>136400</f>
        <v>136400</v>
      </c>
      <c r="U225" s="30" t="str">
        <f>"－"</f>
        <v>－</v>
      </c>
      <c r="V225" s="30">
        <f>260602625</f>
        <v>260602625</v>
      </c>
      <c r="W225" s="30" t="str">
        <f>"－"</f>
        <v>－</v>
      </c>
      <c r="X225" s="34">
        <f>11</f>
        <v>11</v>
      </c>
    </row>
    <row r="226" spans="1:24" x14ac:dyDescent="0.15">
      <c r="A226" s="25" t="s">
        <v>971</v>
      </c>
      <c r="B226" s="25" t="s">
        <v>714</v>
      </c>
      <c r="C226" s="25" t="s">
        <v>715</v>
      </c>
      <c r="D226" s="25" t="s">
        <v>716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27260</f>
        <v>27260</v>
      </c>
      <c r="L226" s="32" t="s">
        <v>909</v>
      </c>
      <c r="M226" s="31">
        <f>27890</f>
        <v>27890</v>
      </c>
      <c r="N226" s="32" t="s">
        <v>818</v>
      </c>
      <c r="O226" s="31">
        <f>26260</f>
        <v>26260</v>
      </c>
      <c r="P226" s="32" t="s">
        <v>813</v>
      </c>
      <c r="Q226" s="31">
        <f>27750</f>
        <v>27750</v>
      </c>
      <c r="R226" s="32" t="s">
        <v>818</v>
      </c>
      <c r="S226" s="33">
        <f>27060</f>
        <v>27060</v>
      </c>
      <c r="T226" s="30">
        <f>21568</f>
        <v>21568</v>
      </c>
      <c r="U226" s="30">
        <f>10800</f>
        <v>10800</v>
      </c>
      <c r="V226" s="30">
        <f>598592820</f>
        <v>598592820</v>
      </c>
      <c r="W226" s="30">
        <f>300207600</f>
        <v>300207600</v>
      </c>
      <c r="X226" s="34">
        <f>16</f>
        <v>16</v>
      </c>
    </row>
    <row r="227" spans="1:24" x14ac:dyDescent="0.15">
      <c r="A227" s="25" t="s">
        <v>971</v>
      </c>
      <c r="B227" s="25" t="s">
        <v>717</v>
      </c>
      <c r="C227" s="25" t="s">
        <v>718</v>
      </c>
      <c r="D227" s="25" t="s">
        <v>719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17430</f>
        <v>17430</v>
      </c>
      <c r="L227" s="32" t="s">
        <v>909</v>
      </c>
      <c r="M227" s="31">
        <f>17710</f>
        <v>17710</v>
      </c>
      <c r="N227" s="32" t="s">
        <v>934</v>
      </c>
      <c r="O227" s="31">
        <f>17225</f>
        <v>17225</v>
      </c>
      <c r="P227" s="32" t="s">
        <v>87</v>
      </c>
      <c r="Q227" s="31">
        <f>17710</f>
        <v>17710</v>
      </c>
      <c r="R227" s="32" t="s">
        <v>934</v>
      </c>
      <c r="S227" s="33">
        <f>17391.25</f>
        <v>17391.25</v>
      </c>
      <c r="T227" s="30">
        <f>6</f>
        <v>6</v>
      </c>
      <c r="U227" s="30" t="str">
        <f>"－"</f>
        <v>－</v>
      </c>
      <c r="V227" s="30">
        <f>104515</f>
        <v>104515</v>
      </c>
      <c r="W227" s="30" t="str">
        <f>"－"</f>
        <v>－</v>
      </c>
      <c r="X227" s="34">
        <f>4</f>
        <v>4</v>
      </c>
    </row>
    <row r="228" spans="1:24" x14ac:dyDescent="0.15">
      <c r="A228" s="25" t="s">
        <v>971</v>
      </c>
      <c r="B228" s="25" t="s">
        <v>720</v>
      </c>
      <c r="C228" s="25" t="s">
        <v>721</v>
      </c>
      <c r="D228" s="25" t="s">
        <v>722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1178</f>
        <v>1178</v>
      </c>
      <c r="L228" s="32" t="s">
        <v>80</v>
      </c>
      <c r="M228" s="31">
        <f>1192</f>
        <v>1192</v>
      </c>
      <c r="N228" s="32" t="s">
        <v>818</v>
      </c>
      <c r="O228" s="31">
        <f>1152</f>
        <v>1152</v>
      </c>
      <c r="P228" s="32" t="s">
        <v>821</v>
      </c>
      <c r="Q228" s="31">
        <f>1192</f>
        <v>1192</v>
      </c>
      <c r="R228" s="32" t="s">
        <v>818</v>
      </c>
      <c r="S228" s="33">
        <f>1174.85</f>
        <v>1174.8499999999999</v>
      </c>
      <c r="T228" s="30">
        <f>227460</f>
        <v>227460</v>
      </c>
      <c r="U228" s="30">
        <f>50000</f>
        <v>50000</v>
      </c>
      <c r="V228" s="30">
        <f>267051520</f>
        <v>267051520</v>
      </c>
      <c r="W228" s="30">
        <f>58605500</f>
        <v>58605500</v>
      </c>
      <c r="X228" s="34">
        <f>13</f>
        <v>13</v>
      </c>
    </row>
    <row r="229" spans="1:24" x14ac:dyDescent="0.15">
      <c r="A229" s="25" t="s">
        <v>971</v>
      </c>
      <c r="B229" s="25" t="s">
        <v>723</v>
      </c>
      <c r="C229" s="25" t="s">
        <v>724</v>
      </c>
      <c r="D229" s="25" t="s">
        <v>725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1145</f>
        <v>1145</v>
      </c>
      <c r="L229" s="32" t="s">
        <v>909</v>
      </c>
      <c r="M229" s="31">
        <f>1177</f>
        <v>1177</v>
      </c>
      <c r="N229" s="32" t="s">
        <v>818</v>
      </c>
      <c r="O229" s="31">
        <f>1131</f>
        <v>1131</v>
      </c>
      <c r="P229" s="32" t="s">
        <v>813</v>
      </c>
      <c r="Q229" s="31">
        <f>1177</f>
        <v>1177</v>
      </c>
      <c r="R229" s="32" t="s">
        <v>818</v>
      </c>
      <c r="S229" s="33">
        <f>1161.58</f>
        <v>1161.58</v>
      </c>
      <c r="T229" s="30">
        <f>11260</f>
        <v>11260</v>
      </c>
      <c r="U229" s="30" t="str">
        <f>"－"</f>
        <v>－</v>
      </c>
      <c r="V229" s="30">
        <f>13015625</f>
        <v>13015625</v>
      </c>
      <c r="W229" s="30" t="str">
        <f>"－"</f>
        <v>－</v>
      </c>
      <c r="X229" s="34">
        <f>19</f>
        <v>19</v>
      </c>
    </row>
    <row r="230" spans="1:24" x14ac:dyDescent="0.15">
      <c r="A230" s="25" t="s">
        <v>971</v>
      </c>
      <c r="B230" s="25" t="s">
        <v>726</v>
      </c>
      <c r="C230" s="25" t="s">
        <v>727</v>
      </c>
      <c r="D230" s="25" t="s">
        <v>728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1190</f>
        <v>1190</v>
      </c>
      <c r="L230" s="32" t="s">
        <v>909</v>
      </c>
      <c r="M230" s="31">
        <f>1213</f>
        <v>1213</v>
      </c>
      <c r="N230" s="32" t="s">
        <v>934</v>
      </c>
      <c r="O230" s="31">
        <f>1150</f>
        <v>1150</v>
      </c>
      <c r="P230" s="32" t="s">
        <v>909</v>
      </c>
      <c r="Q230" s="31">
        <f>1205</f>
        <v>1205</v>
      </c>
      <c r="R230" s="32" t="s">
        <v>818</v>
      </c>
      <c r="S230" s="33">
        <f>1185.74</f>
        <v>1185.74</v>
      </c>
      <c r="T230" s="30">
        <f>30898</f>
        <v>30898</v>
      </c>
      <c r="U230" s="30">
        <f>11</f>
        <v>11</v>
      </c>
      <c r="V230" s="30">
        <f>36638338</f>
        <v>36638338</v>
      </c>
      <c r="W230" s="30">
        <f>12468</f>
        <v>12468</v>
      </c>
      <c r="X230" s="34">
        <f>19</f>
        <v>19</v>
      </c>
    </row>
    <row r="231" spans="1:24" x14ac:dyDescent="0.15">
      <c r="A231" s="25" t="s">
        <v>971</v>
      </c>
      <c r="B231" s="25" t="s">
        <v>729</v>
      </c>
      <c r="C231" s="25" t="s">
        <v>730</v>
      </c>
      <c r="D231" s="25" t="s">
        <v>731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13065</f>
        <v>13065</v>
      </c>
      <c r="L231" s="32" t="s">
        <v>909</v>
      </c>
      <c r="M231" s="31">
        <f>13200</f>
        <v>13200</v>
      </c>
      <c r="N231" s="32" t="s">
        <v>80</v>
      </c>
      <c r="O231" s="31">
        <f>12500</f>
        <v>12500</v>
      </c>
      <c r="P231" s="32" t="s">
        <v>821</v>
      </c>
      <c r="Q231" s="31">
        <f>13050</f>
        <v>13050</v>
      </c>
      <c r="R231" s="32" t="s">
        <v>818</v>
      </c>
      <c r="S231" s="33">
        <f>12866.47</f>
        <v>12866.47</v>
      </c>
      <c r="T231" s="30">
        <f>688</f>
        <v>688</v>
      </c>
      <c r="U231" s="30" t="str">
        <f>"－"</f>
        <v>－</v>
      </c>
      <c r="V231" s="30">
        <f>8820495</f>
        <v>8820495</v>
      </c>
      <c r="W231" s="30" t="str">
        <f>"－"</f>
        <v>－</v>
      </c>
      <c r="X231" s="34">
        <f>17</f>
        <v>17</v>
      </c>
    </row>
    <row r="232" spans="1:24" x14ac:dyDescent="0.15">
      <c r="A232" s="25" t="s">
        <v>971</v>
      </c>
      <c r="B232" s="25" t="s">
        <v>732</v>
      </c>
      <c r="C232" s="25" t="s">
        <v>733</v>
      </c>
      <c r="D232" s="25" t="s">
        <v>734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2144</f>
        <v>2144</v>
      </c>
      <c r="L232" s="32" t="s">
        <v>909</v>
      </c>
      <c r="M232" s="31">
        <f>2144</f>
        <v>2144</v>
      </c>
      <c r="N232" s="32" t="s">
        <v>909</v>
      </c>
      <c r="O232" s="31">
        <f>2020</f>
        <v>2020</v>
      </c>
      <c r="P232" s="32" t="s">
        <v>821</v>
      </c>
      <c r="Q232" s="31">
        <f>2141</f>
        <v>2141</v>
      </c>
      <c r="R232" s="32" t="s">
        <v>818</v>
      </c>
      <c r="S232" s="33">
        <f>2113.16</f>
        <v>2113.16</v>
      </c>
      <c r="T232" s="30">
        <f>259883</f>
        <v>259883</v>
      </c>
      <c r="U232" s="30">
        <f>250000</f>
        <v>250000</v>
      </c>
      <c r="V232" s="30">
        <f>547754792</f>
        <v>547754792</v>
      </c>
      <c r="W232" s="30">
        <f>526878000</f>
        <v>526878000</v>
      </c>
      <c r="X232" s="34">
        <f>19</f>
        <v>19</v>
      </c>
    </row>
    <row r="233" spans="1:24" x14ac:dyDescent="0.15">
      <c r="A233" s="25" t="s">
        <v>971</v>
      </c>
      <c r="B233" s="25" t="s">
        <v>735</v>
      </c>
      <c r="C233" s="25" t="s">
        <v>736</v>
      </c>
      <c r="D233" s="25" t="s">
        <v>737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1418</f>
        <v>1418</v>
      </c>
      <c r="L233" s="32" t="s">
        <v>909</v>
      </c>
      <c r="M233" s="31">
        <f>1530</f>
        <v>1530</v>
      </c>
      <c r="N233" s="32" t="s">
        <v>818</v>
      </c>
      <c r="O233" s="31">
        <f>1418</f>
        <v>1418</v>
      </c>
      <c r="P233" s="32" t="s">
        <v>909</v>
      </c>
      <c r="Q233" s="31">
        <f>1530</f>
        <v>1530</v>
      </c>
      <c r="R233" s="32" t="s">
        <v>818</v>
      </c>
      <c r="S233" s="33">
        <f>1476.46</f>
        <v>1476.46</v>
      </c>
      <c r="T233" s="30">
        <f>2500</f>
        <v>2500</v>
      </c>
      <c r="U233" s="30" t="str">
        <f>"－"</f>
        <v>－</v>
      </c>
      <c r="V233" s="30">
        <f>3693225</f>
        <v>3693225</v>
      </c>
      <c r="W233" s="30" t="str">
        <f>"－"</f>
        <v>－</v>
      </c>
      <c r="X233" s="34">
        <f>13</f>
        <v>13</v>
      </c>
    </row>
    <row r="234" spans="1:24" x14ac:dyDescent="0.15">
      <c r="A234" s="25" t="s">
        <v>971</v>
      </c>
      <c r="B234" s="25" t="s">
        <v>738</v>
      </c>
      <c r="C234" s="25" t="s">
        <v>822</v>
      </c>
      <c r="D234" s="25" t="s">
        <v>823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901</f>
        <v>901</v>
      </c>
      <c r="L234" s="32" t="s">
        <v>909</v>
      </c>
      <c r="M234" s="31">
        <f>914.1</f>
        <v>914.1</v>
      </c>
      <c r="N234" s="32" t="s">
        <v>934</v>
      </c>
      <c r="O234" s="31">
        <f>894.4</f>
        <v>894.4</v>
      </c>
      <c r="P234" s="32" t="s">
        <v>911</v>
      </c>
      <c r="Q234" s="31">
        <f>908.6</f>
        <v>908.6</v>
      </c>
      <c r="R234" s="32" t="s">
        <v>818</v>
      </c>
      <c r="S234" s="33">
        <f>902.13</f>
        <v>902.13</v>
      </c>
      <c r="T234" s="30">
        <f>250450</f>
        <v>250450</v>
      </c>
      <c r="U234" s="30">
        <f>145780</f>
        <v>145780</v>
      </c>
      <c r="V234" s="30">
        <f>225620416</f>
        <v>225620416</v>
      </c>
      <c r="W234" s="30">
        <f>131359367</f>
        <v>131359367</v>
      </c>
      <c r="X234" s="34">
        <f>19</f>
        <v>19</v>
      </c>
    </row>
    <row r="235" spans="1:24" x14ac:dyDescent="0.15">
      <c r="A235" s="25" t="s">
        <v>971</v>
      </c>
      <c r="B235" s="25" t="s">
        <v>739</v>
      </c>
      <c r="C235" s="25" t="s">
        <v>740</v>
      </c>
      <c r="D235" s="25" t="s">
        <v>741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2055</f>
        <v>2055</v>
      </c>
      <c r="L235" s="32" t="s">
        <v>909</v>
      </c>
      <c r="M235" s="31">
        <f>2060</f>
        <v>2060</v>
      </c>
      <c r="N235" s="32" t="s">
        <v>905</v>
      </c>
      <c r="O235" s="31">
        <f>1966.5</f>
        <v>1966.5</v>
      </c>
      <c r="P235" s="32" t="s">
        <v>813</v>
      </c>
      <c r="Q235" s="31">
        <f>2048.5</f>
        <v>2048.5</v>
      </c>
      <c r="R235" s="32" t="s">
        <v>818</v>
      </c>
      <c r="S235" s="33">
        <f>2023.16</f>
        <v>2023.16</v>
      </c>
      <c r="T235" s="30">
        <f>36500</f>
        <v>36500</v>
      </c>
      <c r="U235" s="30" t="str">
        <f>"－"</f>
        <v>－</v>
      </c>
      <c r="V235" s="30">
        <f>73248270</f>
        <v>73248270</v>
      </c>
      <c r="W235" s="30" t="str">
        <f>"－"</f>
        <v>－</v>
      </c>
      <c r="X235" s="34">
        <f>16</f>
        <v>16</v>
      </c>
    </row>
    <row r="236" spans="1:24" x14ac:dyDescent="0.15">
      <c r="A236" s="25" t="s">
        <v>971</v>
      </c>
      <c r="B236" s="25" t="s">
        <v>742</v>
      </c>
      <c r="C236" s="25" t="s">
        <v>743</v>
      </c>
      <c r="D236" s="25" t="s">
        <v>744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2028</f>
        <v>2028</v>
      </c>
      <c r="L236" s="32" t="s">
        <v>909</v>
      </c>
      <c r="M236" s="31">
        <f>2047</f>
        <v>2047</v>
      </c>
      <c r="N236" s="32" t="s">
        <v>818</v>
      </c>
      <c r="O236" s="31">
        <f>1966</f>
        <v>1966</v>
      </c>
      <c r="P236" s="32" t="s">
        <v>813</v>
      </c>
      <c r="Q236" s="31">
        <f>2047</f>
        <v>2047</v>
      </c>
      <c r="R236" s="32" t="s">
        <v>818</v>
      </c>
      <c r="S236" s="33">
        <f>2014.89</f>
        <v>2014.89</v>
      </c>
      <c r="T236" s="30">
        <f>417830</f>
        <v>417830</v>
      </c>
      <c r="U236" s="30">
        <f>167070</f>
        <v>167070</v>
      </c>
      <c r="V236" s="30">
        <f>841790290</f>
        <v>841790290</v>
      </c>
      <c r="W236" s="30">
        <f>337544490</f>
        <v>337544490</v>
      </c>
      <c r="X236" s="34">
        <f>19</f>
        <v>19</v>
      </c>
    </row>
    <row r="237" spans="1:24" x14ac:dyDescent="0.15">
      <c r="A237" s="25" t="s">
        <v>971</v>
      </c>
      <c r="B237" s="25" t="s">
        <v>745</v>
      </c>
      <c r="C237" s="25" t="s">
        <v>746</v>
      </c>
      <c r="D237" s="25" t="s">
        <v>747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1909.5</f>
        <v>1909.5</v>
      </c>
      <c r="L237" s="32" t="s">
        <v>909</v>
      </c>
      <c r="M237" s="31">
        <f>1924.5</f>
        <v>1924.5</v>
      </c>
      <c r="N237" s="32" t="s">
        <v>80</v>
      </c>
      <c r="O237" s="31">
        <f>1843.5</f>
        <v>1843.5</v>
      </c>
      <c r="P237" s="32" t="s">
        <v>813</v>
      </c>
      <c r="Q237" s="31">
        <f>1907</f>
        <v>1907</v>
      </c>
      <c r="R237" s="32" t="s">
        <v>935</v>
      </c>
      <c r="S237" s="33">
        <f>1881.91</f>
        <v>1881.91</v>
      </c>
      <c r="T237" s="30">
        <f>49060</f>
        <v>49060</v>
      </c>
      <c r="U237" s="30" t="str">
        <f>"－"</f>
        <v>－</v>
      </c>
      <c r="V237" s="30">
        <f>91558095</f>
        <v>91558095</v>
      </c>
      <c r="W237" s="30" t="str">
        <f>"－"</f>
        <v>－</v>
      </c>
      <c r="X237" s="34">
        <f>11</f>
        <v>11</v>
      </c>
    </row>
    <row r="238" spans="1:24" x14ac:dyDescent="0.15">
      <c r="A238" s="25" t="s">
        <v>971</v>
      </c>
      <c r="B238" s="25" t="s">
        <v>748</v>
      </c>
      <c r="C238" s="25" t="s">
        <v>749</v>
      </c>
      <c r="D238" s="25" t="s">
        <v>750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15470</f>
        <v>15470</v>
      </c>
      <c r="L238" s="32" t="s">
        <v>909</v>
      </c>
      <c r="M238" s="31">
        <f>15605</f>
        <v>15605</v>
      </c>
      <c r="N238" s="32" t="s">
        <v>80</v>
      </c>
      <c r="O238" s="31">
        <f>14375</f>
        <v>14375</v>
      </c>
      <c r="P238" s="32" t="s">
        <v>935</v>
      </c>
      <c r="Q238" s="31">
        <f>15340</f>
        <v>15340</v>
      </c>
      <c r="R238" s="32" t="s">
        <v>818</v>
      </c>
      <c r="S238" s="33">
        <f>14919.47</f>
        <v>14919.47</v>
      </c>
      <c r="T238" s="30">
        <f>1477192</f>
        <v>1477192</v>
      </c>
      <c r="U238" s="30">
        <f>300419</f>
        <v>300419</v>
      </c>
      <c r="V238" s="30">
        <f>22010945386</f>
        <v>22010945386</v>
      </c>
      <c r="W238" s="30">
        <f>4530113421</f>
        <v>4530113421</v>
      </c>
      <c r="X238" s="34">
        <f>19</f>
        <v>19</v>
      </c>
    </row>
    <row r="239" spans="1:24" x14ac:dyDescent="0.15">
      <c r="A239" s="25" t="s">
        <v>971</v>
      </c>
      <c r="B239" s="25" t="s">
        <v>751</v>
      </c>
      <c r="C239" s="25" t="s">
        <v>752</v>
      </c>
      <c r="D239" s="25" t="s">
        <v>753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14085</f>
        <v>14085</v>
      </c>
      <c r="L239" s="32" t="s">
        <v>909</v>
      </c>
      <c r="M239" s="31">
        <f>14175</f>
        <v>14175</v>
      </c>
      <c r="N239" s="32" t="s">
        <v>909</v>
      </c>
      <c r="O239" s="31">
        <f>13195</f>
        <v>13195</v>
      </c>
      <c r="P239" s="32" t="s">
        <v>815</v>
      </c>
      <c r="Q239" s="31">
        <f>13885</f>
        <v>13885</v>
      </c>
      <c r="R239" s="32" t="s">
        <v>818</v>
      </c>
      <c r="S239" s="33">
        <f>13585</f>
        <v>13585</v>
      </c>
      <c r="T239" s="30">
        <f>200243</f>
        <v>200243</v>
      </c>
      <c r="U239" s="30">
        <f>7</f>
        <v>7</v>
      </c>
      <c r="V239" s="30">
        <f>2717679190</f>
        <v>2717679190</v>
      </c>
      <c r="W239" s="30">
        <f>97760</f>
        <v>97760</v>
      </c>
      <c r="X239" s="34">
        <f>19</f>
        <v>19</v>
      </c>
    </row>
    <row r="240" spans="1:24" x14ac:dyDescent="0.15">
      <c r="A240" s="25" t="s">
        <v>971</v>
      </c>
      <c r="B240" s="25" t="s">
        <v>754</v>
      </c>
      <c r="C240" s="25" t="s">
        <v>755</v>
      </c>
      <c r="D240" s="25" t="s">
        <v>756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25540</f>
        <v>25540</v>
      </c>
      <c r="L240" s="32" t="s">
        <v>909</v>
      </c>
      <c r="M240" s="31">
        <f>25585</f>
        <v>25585</v>
      </c>
      <c r="N240" s="32" t="s">
        <v>934</v>
      </c>
      <c r="O240" s="31">
        <f>24400</f>
        <v>24400</v>
      </c>
      <c r="P240" s="32" t="s">
        <v>813</v>
      </c>
      <c r="Q240" s="31">
        <f>25585</f>
        <v>25585</v>
      </c>
      <c r="R240" s="32" t="s">
        <v>934</v>
      </c>
      <c r="S240" s="33">
        <f>25000</f>
        <v>25000</v>
      </c>
      <c r="T240" s="30">
        <f>12</f>
        <v>12</v>
      </c>
      <c r="U240" s="30" t="str">
        <f>"－"</f>
        <v>－</v>
      </c>
      <c r="V240" s="30">
        <f>298925</f>
        <v>298925</v>
      </c>
      <c r="W240" s="30" t="str">
        <f>"－"</f>
        <v>－</v>
      </c>
      <c r="X240" s="34">
        <f>6</f>
        <v>6</v>
      </c>
    </row>
    <row r="241" spans="1:24" x14ac:dyDescent="0.15">
      <c r="A241" s="25" t="s">
        <v>971</v>
      </c>
      <c r="B241" s="25" t="s">
        <v>757</v>
      </c>
      <c r="C241" s="25" t="s">
        <v>758</v>
      </c>
      <c r="D241" s="25" t="s">
        <v>759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2634</f>
        <v>2634</v>
      </c>
      <c r="L241" s="32" t="s">
        <v>909</v>
      </c>
      <c r="M241" s="31">
        <f>2637</f>
        <v>2637</v>
      </c>
      <c r="N241" s="32" t="s">
        <v>815</v>
      </c>
      <c r="O241" s="31">
        <f>2611</f>
        <v>2611</v>
      </c>
      <c r="P241" s="32" t="s">
        <v>813</v>
      </c>
      <c r="Q241" s="31">
        <f>2620</f>
        <v>2620</v>
      </c>
      <c r="R241" s="32" t="s">
        <v>818</v>
      </c>
      <c r="S241" s="33">
        <f>2620.63</f>
        <v>2620.63</v>
      </c>
      <c r="T241" s="30">
        <f>8367146</f>
        <v>8367146</v>
      </c>
      <c r="U241" s="30">
        <f>8064747</f>
        <v>8064747</v>
      </c>
      <c r="V241" s="30">
        <f>21984910523</f>
        <v>21984910523</v>
      </c>
      <c r="W241" s="30">
        <f>21192001310</f>
        <v>21192001310</v>
      </c>
      <c r="X241" s="34">
        <f>19</f>
        <v>19</v>
      </c>
    </row>
    <row r="242" spans="1:24" x14ac:dyDescent="0.15">
      <c r="A242" s="25" t="s">
        <v>971</v>
      </c>
      <c r="B242" s="25" t="s">
        <v>760</v>
      </c>
      <c r="C242" s="25" t="s">
        <v>761</v>
      </c>
      <c r="D242" s="25" t="s">
        <v>762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2848.5</f>
        <v>2848.5</v>
      </c>
      <c r="L242" s="32" t="s">
        <v>909</v>
      </c>
      <c r="M242" s="31">
        <f>2893</f>
        <v>2893</v>
      </c>
      <c r="N242" s="32" t="s">
        <v>909</v>
      </c>
      <c r="O242" s="31">
        <f>2700</f>
        <v>2700</v>
      </c>
      <c r="P242" s="32" t="s">
        <v>87</v>
      </c>
      <c r="Q242" s="31">
        <f>2870</f>
        <v>2870</v>
      </c>
      <c r="R242" s="32" t="s">
        <v>818</v>
      </c>
      <c r="S242" s="33">
        <f>2787.32</f>
        <v>2787.32</v>
      </c>
      <c r="T242" s="30">
        <f>2180260</f>
        <v>2180260</v>
      </c>
      <c r="U242" s="30">
        <f>1076320</f>
        <v>1076320</v>
      </c>
      <c r="V242" s="30">
        <f>6084615074</f>
        <v>6084615074</v>
      </c>
      <c r="W242" s="30">
        <f>3018425434</f>
        <v>3018425434</v>
      </c>
      <c r="X242" s="34">
        <f>19</f>
        <v>19</v>
      </c>
    </row>
    <row r="243" spans="1:24" x14ac:dyDescent="0.15">
      <c r="A243" s="25" t="s">
        <v>971</v>
      </c>
      <c r="B243" s="25" t="s">
        <v>763</v>
      </c>
      <c r="C243" s="25" t="s">
        <v>764</v>
      </c>
      <c r="D243" s="25" t="s">
        <v>765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268.5</f>
        <v>268.5</v>
      </c>
      <c r="L243" s="32" t="s">
        <v>909</v>
      </c>
      <c r="M243" s="31">
        <f>271.6</f>
        <v>271.60000000000002</v>
      </c>
      <c r="N243" s="32" t="s">
        <v>934</v>
      </c>
      <c r="O243" s="31">
        <f>252.7</f>
        <v>252.7</v>
      </c>
      <c r="P243" s="32" t="s">
        <v>816</v>
      </c>
      <c r="Q243" s="31">
        <f>269.7</f>
        <v>269.7</v>
      </c>
      <c r="R243" s="32" t="s">
        <v>818</v>
      </c>
      <c r="S243" s="33">
        <f>260.65</f>
        <v>260.64999999999998</v>
      </c>
      <c r="T243" s="30">
        <f>44024190</f>
        <v>44024190</v>
      </c>
      <c r="U243" s="30">
        <f>5193450</f>
        <v>5193450</v>
      </c>
      <c r="V243" s="30">
        <f>11455779908</f>
        <v>11455779908</v>
      </c>
      <c r="W243" s="30">
        <f>1376797717</f>
        <v>1376797717</v>
      </c>
      <c r="X243" s="34">
        <f>19</f>
        <v>19</v>
      </c>
    </row>
    <row r="244" spans="1:24" x14ac:dyDescent="0.15">
      <c r="A244" s="25" t="s">
        <v>971</v>
      </c>
      <c r="B244" s="25" t="s">
        <v>766</v>
      </c>
      <c r="C244" s="25" t="s">
        <v>767</v>
      </c>
      <c r="D244" s="25" t="s">
        <v>768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1977</f>
        <v>1977</v>
      </c>
      <c r="L244" s="32" t="s">
        <v>909</v>
      </c>
      <c r="M244" s="31">
        <f>2012</f>
        <v>2012</v>
      </c>
      <c r="N244" s="32" t="s">
        <v>906</v>
      </c>
      <c r="O244" s="31">
        <f>1934</f>
        <v>1934</v>
      </c>
      <c r="P244" s="32" t="s">
        <v>56</v>
      </c>
      <c r="Q244" s="31">
        <f>1975</f>
        <v>1975</v>
      </c>
      <c r="R244" s="32" t="s">
        <v>818</v>
      </c>
      <c r="S244" s="33">
        <f>1979.32</f>
        <v>1979.32</v>
      </c>
      <c r="T244" s="30">
        <f>58582</f>
        <v>58582</v>
      </c>
      <c r="U244" s="30">
        <f>8</f>
        <v>8</v>
      </c>
      <c r="V244" s="30">
        <f>115734288</f>
        <v>115734288</v>
      </c>
      <c r="W244" s="30">
        <f>15828</f>
        <v>15828</v>
      </c>
      <c r="X244" s="34">
        <f>19</f>
        <v>19</v>
      </c>
    </row>
    <row r="245" spans="1:24" x14ac:dyDescent="0.15">
      <c r="A245" s="25" t="s">
        <v>971</v>
      </c>
      <c r="B245" s="25" t="s">
        <v>769</v>
      </c>
      <c r="C245" s="25" t="s">
        <v>770</v>
      </c>
      <c r="D245" s="25" t="s">
        <v>771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1122</f>
        <v>1122</v>
      </c>
      <c r="L245" s="32" t="s">
        <v>909</v>
      </c>
      <c r="M245" s="31">
        <f>1144</f>
        <v>1144</v>
      </c>
      <c r="N245" s="32" t="s">
        <v>909</v>
      </c>
      <c r="O245" s="31">
        <f>1089</f>
        <v>1089</v>
      </c>
      <c r="P245" s="32" t="s">
        <v>813</v>
      </c>
      <c r="Q245" s="31">
        <f>1129</f>
        <v>1129</v>
      </c>
      <c r="R245" s="32" t="s">
        <v>818</v>
      </c>
      <c r="S245" s="33">
        <f>1118.42</f>
        <v>1118.42</v>
      </c>
      <c r="T245" s="30">
        <f>175330</f>
        <v>175330</v>
      </c>
      <c r="U245" s="30">
        <f>9</f>
        <v>9</v>
      </c>
      <c r="V245" s="30">
        <f>194128413</f>
        <v>194128413</v>
      </c>
      <c r="W245" s="30">
        <f>10086</f>
        <v>10086</v>
      </c>
      <c r="X245" s="34">
        <f>19</f>
        <v>19</v>
      </c>
    </row>
    <row r="246" spans="1:24" x14ac:dyDescent="0.15">
      <c r="A246" s="25" t="s">
        <v>971</v>
      </c>
      <c r="B246" s="25" t="s">
        <v>772</v>
      </c>
      <c r="C246" s="25" t="s">
        <v>773</v>
      </c>
      <c r="D246" s="25" t="s">
        <v>774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1131.5</f>
        <v>1131.5</v>
      </c>
      <c r="L246" s="32" t="s">
        <v>909</v>
      </c>
      <c r="M246" s="31">
        <f>1133</f>
        <v>1133</v>
      </c>
      <c r="N246" s="32" t="s">
        <v>266</v>
      </c>
      <c r="O246" s="31">
        <f>1093.5</f>
        <v>1093.5</v>
      </c>
      <c r="P246" s="32" t="s">
        <v>56</v>
      </c>
      <c r="Q246" s="31">
        <f>1122</f>
        <v>1122</v>
      </c>
      <c r="R246" s="32" t="s">
        <v>818</v>
      </c>
      <c r="S246" s="33">
        <f>1119.06</f>
        <v>1119.06</v>
      </c>
      <c r="T246" s="30">
        <f>963540</f>
        <v>963540</v>
      </c>
      <c r="U246" s="30">
        <f>900000</f>
        <v>900000</v>
      </c>
      <c r="V246" s="30">
        <f>1068900020</f>
        <v>1068900020</v>
      </c>
      <c r="W246" s="30">
        <f>998330000</f>
        <v>998330000</v>
      </c>
      <c r="X246" s="34">
        <f>18</f>
        <v>18</v>
      </c>
    </row>
    <row r="247" spans="1:24" x14ac:dyDescent="0.15">
      <c r="A247" s="25" t="s">
        <v>971</v>
      </c>
      <c r="B247" s="25" t="s">
        <v>775</v>
      </c>
      <c r="C247" s="25" t="s">
        <v>776</v>
      </c>
      <c r="D247" s="25" t="s">
        <v>777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236</f>
        <v>236</v>
      </c>
      <c r="L247" s="32" t="s">
        <v>909</v>
      </c>
      <c r="M247" s="31">
        <f>239</f>
        <v>239</v>
      </c>
      <c r="N247" s="32" t="s">
        <v>818</v>
      </c>
      <c r="O247" s="31">
        <f>230.9</f>
        <v>230.9</v>
      </c>
      <c r="P247" s="32" t="s">
        <v>813</v>
      </c>
      <c r="Q247" s="31">
        <f>236.1</f>
        <v>236.1</v>
      </c>
      <c r="R247" s="32" t="s">
        <v>818</v>
      </c>
      <c r="S247" s="33">
        <f>233.81</f>
        <v>233.81</v>
      </c>
      <c r="T247" s="30">
        <f>30890</f>
        <v>30890</v>
      </c>
      <c r="U247" s="30" t="str">
        <f>"－"</f>
        <v>－</v>
      </c>
      <c r="V247" s="30">
        <f>7256443</f>
        <v>7256443</v>
      </c>
      <c r="W247" s="30" t="str">
        <f>"－"</f>
        <v>－</v>
      </c>
      <c r="X247" s="34">
        <f>19</f>
        <v>19</v>
      </c>
    </row>
    <row r="248" spans="1:24" x14ac:dyDescent="0.15">
      <c r="A248" s="25" t="s">
        <v>971</v>
      </c>
      <c r="B248" s="25" t="s">
        <v>778</v>
      </c>
      <c r="C248" s="25" t="s">
        <v>779</v>
      </c>
      <c r="D248" s="25" t="s">
        <v>780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2880</f>
        <v>2880</v>
      </c>
      <c r="L248" s="32" t="s">
        <v>909</v>
      </c>
      <c r="M248" s="31">
        <f>2910</f>
        <v>2910</v>
      </c>
      <c r="N248" s="32" t="s">
        <v>909</v>
      </c>
      <c r="O248" s="31">
        <f>2577</f>
        <v>2577</v>
      </c>
      <c r="P248" s="32" t="s">
        <v>815</v>
      </c>
      <c r="Q248" s="31">
        <f>2808.5</f>
        <v>2808.5</v>
      </c>
      <c r="R248" s="32" t="s">
        <v>818</v>
      </c>
      <c r="S248" s="33">
        <f>2728.5</f>
        <v>2728.5</v>
      </c>
      <c r="T248" s="30">
        <f>10299990</f>
        <v>10299990</v>
      </c>
      <c r="U248" s="30">
        <f>20</f>
        <v>20</v>
      </c>
      <c r="V248" s="30">
        <f>27946001925</f>
        <v>27946001925</v>
      </c>
      <c r="W248" s="30">
        <f>53210</f>
        <v>53210</v>
      </c>
      <c r="X248" s="34">
        <f>19</f>
        <v>19</v>
      </c>
    </row>
    <row r="249" spans="1:24" x14ac:dyDescent="0.15">
      <c r="A249" s="25" t="s">
        <v>971</v>
      </c>
      <c r="B249" s="25" t="s">
        <v>781</v>
      </c>
      <c r="C249" s="25" t="s">
        <v>782</v>
      </c>
      <c r="D249" s="25" t="s">
        <v>783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2310.5</f>
        <v>2310.5</v>
      </c>
      <c r="L249" s="32" t="s">
        <v>909</v>
      </c>
      <c r="M249" s="31">
        <f>2315</f>
        <v>2315</v>
      </c>
      <c r="N249" s="32" t="s">
        <v>909</v>
      </c>
      <c r="O249" s="31">
        <f>2107.5</f>
        <v>2107.5</v>
      </c>
      <c r="P249" s="32" t="s">
        <v>815</v>
      </c>
      <c r="Q249" s="31">
        <f>2273.5</f>
        <v>2273.5</v>
      </c>
      <c r="R249" s="32" t="s">
        <v>818</v>
      </c>
      <c r="S249" s="33">
        <f>2195.32</f>
        <v>2195.3200000000002</v>
      </c>
      <c r="T249" s="30">
        <f>7251870</f>
        <v>7251870</v>
      </c>
      <c r="U249" s="30">
        <f>1508000</f>
        <v>1508000</v>
      </c>
      <c r="V249" s="30">
        <f>15970155433</f>
        <v>15970155433</v>
      </c>
      <c r="W249" s="30">
        <f>3317667648</f>
        <v>3317667648</v>
      </c>
      <c r="X249" s="34">
        <f>19</f>
        <v>19</v>
      </c>
    </row>
    <row r="250" spans="1:24" x14ac:dyDescent="0.15">
      <c r="A250" s="25" t="s">
        <v>971</v>
      </c>
      <c r="B250" s="25" t="s">
        <v>784</v>
      </c>
      <c r="C250" s="25" t="s">
        <v>785</v>
      </c>
      <c r="D250" s="25" t="s">
        <v>786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2948</f>
        <v>2948</v>
      </c>
      <c r="L250" s="32" t="s">
        <v>909</v>
      </c>
      <c r="M250" s="31">
        <f>2958</f>
        <v>2958</v>
      </c>
      <c r="N250" s="32" t="s">
        <v>911</v>
      </c>
      <c r="O250" s="31">
        <f>2875</f>
        <v>2875</v>
      </c>
      <c r="P250" s="32" t="s">
        <v>815</v>
      </c>
      <c r="Q250" s="31">
        <f>2902</f>
        <v>2902</v>
      </c>
      <c r="R250" s="32" t="s">
        <v>818</v>
      </c>
      <c r="S250" s="33">
        <f>2914.21</f>
        <v>2914.21</v>
      </c>
      <c r="T250" s="30">
        <f>1252951</f>
        <v>1252951</v>
      </c>
      <c r="U250" s="30">
        <f>306300</f>
        <v>306300</v>
      </c>
      <c r="V250" s="30">
        <f>3648101405</f>
        <v>3648101405</v>
      </c>
      <c r="W250" s="30">
        <f>899786290</f>
        <v>899786290</v>
      </c>
      <c r="X250" s="34">
        <f>19</f>
        <v>19</v>
      </c>
    </row>
    <row r="251" spans="1:24" x14ac:dyDescent="0.15">
      <c r="A251" s="25" t="s">
        <v>971</v>
      </c>
      <c r="B251" s="25" t="s">
        <v>787</v>
      </c>
      <c r="C251" s="25" t="s">
        <v>788</v>
      </c>
      <c r="D251" s="25" t="s">
        <v>789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1783</f>
        <v>1783</v>
      </c>
      <c r="L251" s="32" t="s">
        <v>909</v>
      </c>
      <c r="M251" s="31">
        <f>1790</f>
        <v>1790</v>
      </c>
      <c r="N251" s="32" t="s">
        <v>812</v>
      </c>
      <c r="O251" s="31">
        <f>1685</f>
        <v>1685</v>
      </c>
      <c r="P251" s="32" t="s">
        <v>911</v>
      </c>
      <c r="Q251" s="31">
        <f>1754</f>
        <v>1754</v>
      </c>
      <c r="R251" s="32" t="s">
        <v>818</v>
      </c>
      <c r="S251" s="33">
        <f>1746.21</f>
        <v>1746.21</v>
      </c>
      <c r="T251" s="30">
        <f>1445306</f>
        <v>1445306</v>
      </c>
      <c r="U251" s="30">
        <f>1</f>
        <v>1</v>
      </c>
      <c r="V251" s="30">
        <f>2511941187</f>
        <v>2511941187</v>
      </c>
      <c r="W251" s="30">
        <f>1751</f>
        <v>1751</v>
      </c>
      <c r="X251" s="34">
        <f>19</f>
        <v>19</v>
      </c>
    </row>
    <row r="252" spans="1:24" x14ac:dyDescent="0.15">
      <c r="A252" s="25" t="s">
        <v>971</v>
      </c>
      <c r="B252" s="25" t="s">
        <v>790</v>
      </c>
      <c r="C252" s="25" t="s">
        <v>791</v>
      </c>
      <c r="D252" s="25" t="s">
        <v>792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2046</f>
        <v>2046</v>
      </c>
      <c r="L252" s="32" t="s">
        <v>909</v>
      </c>
      <c r="M252" s="31">
        <f>2051</f>
        <v>2051</v>
      </c>
      <c r="N252" s="32" t="s">
        <v>934</v>
      </c>
      <c r="O252" s="31">
        <f>1972</f>
        <v>1972</v>
      </c>
      <c r="P252" s="32" t="s">
        <v>816</v>
      </c>
      <c r="Q252" s="31">
        <f>2046</f>
        <v>2046</v>
      </c>
      <c r="R252" s="32" t="s">
        <v>818</v>
      </c>
      <c r="S252" s="33">
        <f>2003.32</f>
        <v>2003.32</v>
      </c>
      <c r="T252" s="30">
        <f>11979</f>
        <v>11979</v>
      </c>
      <c r="U252" s="30" t="str">
        <f>"－"</f>
        <v>－</v>
      </c>
      <c r="V252" s="30">
        <f>24064378</f>
        <v>24064378</v>
      </c>
      <c r="W252" s="30" t="str">
        <f>"－"</f>
        <v>－</v>
      </c>
      <c r="X252" s="34">
        <f>19</f>
        <v>19</v>
      </c>
    </row>
    <row r="253" spans="1:24" x14ac:dyDescent="0.15">
      <c r="A253" s="25" t="s">
        <v>971</v>
      </c>
      <c r="B253" s="25" t="s">
        <v>793</v>
      </c>
      <c r="C253" s="25" t="s">
        <v>794</v>
      </c>
      <c r="D253" s="25" t="s">
        <v>795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2313</f>
        <v>2313</v>
      </c>
      <c r="L253" s="32" t="s">
        <v>909</v>
      </c>
      <c r="M253" s="31">
        <f>2313</f>
        <v>2313</v>
      </c>
      <c r="N253" s="32" t="s">
        <v>909</v>
      </c>
      <c r="O253" s="31">
        <f>2259</f>
        <v>2259</v>
      </c>
      <c r="P253" s="32" t="s">
        <v>911</v>
      </c>
      <c r="Q253" s="31">
        <f>2279</f>
        <v>2279</v>
      </c>
      <c r="R253" s="32" t="s">
        <v>818</v>
      </c>
      <c r="S253" s="33">
        <f>2279.06</f>
        <v>2279.06</v>
      </c>
      <c r="T253" s="30">
        <f>9366</f>
        <v>9366</v>
      </c>
      <c r="U253" s="30" t="str">
        <f>"－"</f>
        <v>－</v>
      </c>
      <c r="V253" s="30">
        <f>21379698</f>
        <v>21379698</v>
      </c>
      <c r="W253" s="30" t="str">
        <f>"－"</f>
        <v>－</v>
      </c>
      <c r="X253" s="34">
        <f>16</f>
        <v>16</v>
      </c>
    </row>
    <row r="254" spans="1:24" x14ac:dyDescent="0.15">
      <c r="A254" s="25" t="s">
        <v>971</v>
      </c>
      <c r="B254" s="25" t="s">
        <v>796</v>
      </c>
      <c r="C254" s="25" t="s">
        <v>797</v>
      </c>
      <c r="D254" s="25" t="s">
        <v>798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2681</f>
        <v>2681</v>
      </c>
      <c r="L254" s="32" t="s">
        <v>909</v>
      </c>
      <c r="M254" s="31">
        <f>2753</f>
        <v>2753</v>
      </c>
      <c r="N254" s="32" t="s">
        <v>818</v>
      </c>
      <c r="O254" s="31">
        <f>2577</f>
        <v>2577</v>
      </c>
      <c r="P254" s="32" t="s">
        <v>813</v>
      </c>
      <c r="Q254" s="31">
        <f>2735</f>
        <v>2735</v>
      </c>
      <c r="R254" s="32" t="s">
        <v>818</v>
      </c>
      <c r="S254" s="33">
        <f>2673.21</f>
        <v>2673.21</v>
      </c>
      <c r="T254" s="30">
        <f>588234</f>
        <v>588234</v>
      </c>
      <c r="U254" s="30">
        <f>362393</f>
        <v>362393</v>
      </c>
      <c r="V254" s="30">
        <f>1576276093</f>
        <v>1576276093</v>
      </c>
      <c r="W254" s="30">
        <f>976279374</f>
        <v>976279374</v>
      </c>
      <c r="X254" s="34">
        <f>19</f>
        <v>19</v>
      </c>
    </row>
    <row r="255" spans="1:24" x14ac:dyDescent="0.15">
      <c r="A255" s="25" t="s">
        <v>971</v>
      </c>
      <c r="B255" s="25" t="s">
        <v>799</v>
      </c>
      <c r="C255" s="25" t="s">
        <v>800</v>
      </c>
      <c r="D255" s="25" t="s">
        <v>801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1903</f>
        <v>1903</v>
      </c>
      <c r="L255" s="32" t="s">
        <v>909</v>
      </c>
      <c r="M255" s="31">
        <f>1929</f>
        <v>1929</v>
      </c>
      <c r="N255" s="32" t="s">
        <v>818</v>
      </c>
      <c r="O255" s="31">
        <f>1830</f>
        <v>1830</v>
      </c>
      <c r="P255" s="32" t="s">
        <v>813</v>
      </c>
      <c r="Q255" s="31">
        <f>1915</f>
        <v>1915</v>
      </c>
      <c r="R255" s="32" t="s">
        <v>818</v>
      </c>
      <c r="S255" s="33">
        <f>1882.05</f>
        <v>1882.05</v>
      </c>
      <c r="T255" s="30">
        <f>279823</f>
        <v>279823</v>
      </c>
      <c r="U255" s="30" t="str">
        <f>"－"</f>
        <v>－</v>
      </c>
      <c r="V255" s="30">
        <f>530674515</f>
        <v>530674515</v>
      </c>
      <c r="W255" s="30" t="str">
        <f>"－"</f>
        <v>－</v>
      </c>
      <c r="X255" s="34">
        <f>19</f>
        <v>19</v>
      </c>
    </row>
    <row r="256" spans="1:24" x14ac:dyDescent="0.15">
      <c r="A256" s="25" t="s">
        <v>971</v>
      </c>
      <c r="B256" s="25" t="s">
        <v>802</v>
      </c>
      <c r="C256" s="25" t="s">
        <v>803</v>
      </c>
      <c r="D256" s="25" t="s">
        <v>804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1932</f>
        <v>1932</v>
      </c>
      <c r="L256" s="32" t="s">
        <v>909</v>
      </c>
      <c r="M256" s="31">
        <f>1932</f>
        <v>1932</v>
      </c>
      <c r="N256" s="32" t="s">
        <v>909</v>
      </c>
      <c r="O256" s="31">
        <f>1816</f>
        <v>1816</v>
      </c>
      <c r="P256" s="32" t="s">
        <v>56</v>
      </c>
      <c r="Q256" s="31">
        <f>1922</f>
        <v>1922</v>
      </c>
      <c r="R256" s="32" t="s">
        <v>818</v>
      </c>
      <c r="S256" s="33">
        <f>1890.53</f>
        <v>1890.53</v>
      </c>
      <c r="T256" s="30">
        <f>14334</f>
        <v>14334</v>
      </c>
      <c r="U256" s="30" t="str">
        <f>"－"</f>
        <v>－</v>
      </c>
      <c r="V256" s="30">
        <f>26984854</f>
        <v>26984854</v>
      </c>
      <c r="W256" s="30" t="str">
        <f>"－"</f>
        <v>－</v>
      </c>
      <c r="X256" s="34">
        <f>19</f>
        <v>19</v>
      </c>
    </row>
    <row r="257" spans="1:24" x14ac:dyDescent="0.15">
      <c r="A257" s="25" t="s">
        <v>971</v>
      </c>
      <c r="B257" s="25" t="s">
        <v>805</v>
      </c>
      <c r="C257" s="25" t="s">
        <v>806</v>
      </c>
      <c r="D257" s="25" t="s">
        <v>807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1620</f>
        <v>1620</v>
      </c>
      <c r="L257" s="32" t="s">
        <v>909</v>
      </c>
      <c r="M257" s="31">
        <f>1620</f>
        <v>1620</v>
      </c>
      <c r="N257" s="32" t="s">
        <v>909</v>
      </c>
      <c r="O257" s="31">
        <f>1438</f>
        <v>1438</v>
      </c>
      <c r="P257" s="32" t="s">
        <v>813</v>
      </c>
      <c r="Q257" s="31">
        <f>1482</f>
        <v>1482</v>
      </c>
      <c r="R257" s="32" t="s">
        <v>818</v>
      </c>
      <c r="S257" s="33">
        <f>1491.53</f>
        <v>1491.53</v>
      </c>
      <c r="T257" s="30">
        <f>154148</f>
        <v>154148</v>
      </c>
      <c r="U257" s="30" t="str">
        <f>"－"</f>
        <v>－</v>
      </c>
      <c r="V257" s="30">
        <f>231590659</f>
        <v>231590659</v>
      </c>
      <c r="W257" s="30" t="str">
        <f>"－"</f>
        <v>－</v>
      </c>
      <c r="X257" s="34">
        <f>19</f>
        <v>19</v>
      </c>
    </row>
    <row r="258" spans="1:24" x14ac:dyDescent="0.15">
      <c r="A258" s="25" t="s">
        <v>971</v>
      </c>
      <c r="B258" s="25" t="s">
        <v>824</v>
      </c>
      <c r="C258" s="25" t="s">
        <v>825</v>
      </c>
      <c r="D258" s="25" t="s">
        <v>826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1861</f>
        <v>1861</v>
      </c>
      <c r="L258" s="32" t="s">
        <v>909</v>
      </c>
      <c r="M258" s="31">
        <f>2078</f>
        <v>2078</v>
      </c>
      <c r="N258" s="32" t="s">
        <v>935</v>
      </c>
      <c r="O258" s="31">
        <f>1838</f>
        <v>1838</v>
      </c>
      <c r="P258" s="32" t="s">
        <v>905</v>
      </c>
      <c r="Q258" s="31">
        <f>2010</f>
        <v>2010</v>
      </c>
      <c r="R258" s="32" t="s">
        <v>818</v>
      </c>
      <c r="S258" s="33">
        <f>1953.79</f>
        <v>1953.79</v>
      </c>
      <c r="T258" s="30">
        <f>20026</f>
        <v>20026</v>
      </c>
      <c r="U258" s="30" t="str">
        <f>"－"</f>
        <v>－</v>
      </c>
      <c r="V258" s="30">
        <f>39196359</f>
        <v>39196359</v>
      </c>
      <c r="W258" s="30" t="str">
        <f>"－"</f>
        <v>－</v>
      </c>
      <c r="X258" s="34">
        <f>19</f>
        <v>19</v>
      </c>
    </row>
    <row r="259" spans="1:24" x14ac:dyDescent="0.15">
      <c r="A259" s="25" t="s">
        <v>971</v>
      </c>
      <c r="B259" s="25" t="s">
        <v>827</v>
      </c>
      <c r="C259" s="25" t="s">
        <v>828</v>
      </c>
      <c r="D259" s="25" t="s">
        <v>829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2350</f>
        <v>2350</v>
      </c>
      <c r="L259" s="32" t="s">
        <v>909</v>
      </c>
      <c r="M259" s="31">
        <f>2428</f>
        <v>2428</v>
      </c>
      <c r="N259" s="32" t="s">
        <v>935</v>
      </c>
      <c r="O259" s="31">
        <f>2250</f>
        <v>2250</v>
      </c>
      <c r="P259" s="32" t="s">
        <v>905</v>
      </c>
      <c r="Q259" s="31">
        <f>2421</f>
        <v>2421</v>
      </c>
      <c r="R259" s="32" t="s">
        <v>818</v>
      </c>
      <c r="S259" s="33">
        <f>2349</f>
        <v>2349</v>
      </c>
      <c r="T259" s="30">
        <f>3578</f>
        <v>3578</v>
      </c>
      <c r="U259" s="30" t="str">
        <f>"－"</f>
        <v>－</v>
      </c>
      <c r="V259" s="30">
        <f>8371259</f>
        <v>8371259</v>
      </c>
      <c r="W259" s="30" t="str">
        <f>"－"</f>
        <v>－</v>
      </c>
      <c r="X259" s="34">
        <f>19</f>
        <v>19</v>
      </c>
    </row>
    <row r="260" spans="1:24" x14ac:dyDescent="0.15">
      <c r="A260" s="25" t="s">
        <v>971</v>
      </c>
      <c r="B260" s="25" t="s">
        <v>830</v>
      </c>
      <c r="C260" s="25" t="s">
        <v>831</v>
      </c>
      <c r="D260" s="25" t="s">
        <v>832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10670</f>
        <v>10670</v>
      </c>
      <c r="L260" s="32" t="s">
        <v>909</v>
      </c>
      <c r="M260" s="31">
        <f>10805</f>
        <v>10805</v>
      </c>
      <c r="N260" s="32" t="s">
        <v>934</v>
      </c>
      <c r="O260" s="31">
        <f>10055</f>
        <v>10055</v>
      </c>
      <c r="P260" s="32" t="s">
        <v>816</v>
      </c>
      <c r="Q260" s="31">
        <f>10735</f>
        <v>10735</v>
      </c>
      <c r="R260" s="32" t="s">
        <v>818</v>
      </c>
      <c r="S260" s="33">
        <f>10370.79</f>
        <v>10370.790000000001</v>
      </c>
      <c r="T260" s="30">
        <f>540829</f>
        <v>540829</v>
      </c>
      <c r="U260" s="30">
        <f>307140</f>
        <v>307140</v>
      </c>
      <c r="V260" s="30">
        <f>5628811759</f>
        <v>5628811759</v>
      </c>
      <c r="W260" s="30">
        <f>3192845999</f>
        <v>3192845999</v>
      </c>
      <c r="X260" s="34">
        <f>19</f>
        <v>19</v>
      </c>
    </row>
    <row r="261" spans="1:24" x14ac:dyDescent="0.15">
      <c r="A261" s="25" t="s">
        <v>971</v>
      </c>
      <c r="B261" s="25" t="s">
        <v>833</v>
      </c>
      <c r="C261" s="25" t="s">
        <v>834</v>
      </c>
      <c r="D261" s="25" t="s">
        <v>835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12050</f>
        <v>12050</v>
      </c>
      <c r="L261" s="32" t="s">
        <v>909</v>
      </c>
      <c r="M261" s="31">
        <f>12160</f>
        <v>12160</v>
      </c>
      <c r="N261" s="32" t="s">
        <v>909</v>
      </c>
      <c r="O261" s="31">
        <f>10760</f>
        <v>10760</v>
      </c>
      <c r="P261" s="32" t="s">
        <v>815</v>
      </c>
      <c r="Q261" s="31">
        <f>11720</f>
        <v>11720</v>
      </c>
      <c r="R261" s="32" t="s">
        <v>818</v>
      </c>
      <c r="S261" s="33">
        <f>11395</f>
        <v>11395</v>
      </c>
      <c r="T261" s="30">
        <f>1967445</f>
        <v>1967445</v>
      </c>
      <c r="U261" s="30">
        <f>180011</f>
        <v>180011</v>
      </c>
      <c r="V261" s="30">
        <f>22312935970</f>
        <v>22312935970</v>
      </c>
      <c r="W261" s="30">
        <f>2035130595</f>
        <v>2035130595</v>
      </c>
      <c r="X261" s="34">
        <f>19</f>
        <v>19</v>
      </c>
    </row>
    <row r="262" spans="1:24" x14ac:dyDescent="0.15">
      <c r="A262" s="25" t="s">
        <v>971</v>
      </c>
      <c r="B262" s="25" t="s">
        <v>836</v>
      </c>
      <c r="C262" s="25" t="s">
        <v>837</v>
      </c>
      <c r="D262" s="25" t="s">
        <v>838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9641</f>
        <v>9641</v>
      </c>
      <c r="L262" s="32" t="s">
        <v>909</v>
      </c>
      <c r="M262" s="31">
        <f>9719</f>
        <v>9719</v>
      </c>
      <c r="N262" s="32" t="s">
        <v>909</v>
      </c>
      <c r="O262" s="31">
        <f>8848</f>
        <v>8848</v>
      </c>
      <c r="P262" s="32" t="s">
        <v>815</v>
      </c>
      <c r="Q262" s="31">
        <f>9542</f>
        <v>9542</v>
      </c>
      <c r="R262" s="32" t="s">
        <v>818</v>
      </c>
      <c r="S262" s="33">
        <f>9215.58</f>
        <v>9215.58</v>
      </c>
      <c r="T262" s="30">
        <f>1810399</f>
        <v>1810399</v>
      </c>
      <c r="U262" s="30">
        <f>160150</f>
        <v>160150</v>
      </c>
      <c r="V262" s="30">
        <f>16673267187</f>
        <v>16673267187</v>
      </c>
      <c r="W262" s="30">
        <f>1531606071</f>
        <v>1531606071</v>
      </c>
      <c r="X262" s="34">
        <f>19</f>
        <v>19</v>
      </c>
    </row>
    <row r="263" spans="1:24" x14ac:dyDescent="0.15">
      <c r="A263" s="25" t="s">
        <v>971</v>
      </c>
      <c r="B263" s="25" t="s">
        <v>839</v>
      </c>
      <c r="C263" s="25" t="s">
        <v>840</v>
      </c>
      <c r="D263" s="25" t="s">
        <v>841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2491.5</f>
        <v>2491.5</v>
      </c>
      <c r="L263" s="32" t="s">
        <v>909</v>
      </c>
      <c r="M263" s="31">
        <f>2518.5</f>
        <v>2518.5</v>
      </c>
      <c r="N263" s="32" t="s">
        <v>909</v>
      </c>
      <c r="O263" s="31">
        <f>2318</f>
        <v>2318</v>
      </c>
      <c r="P263" s="32" t="s">
        <v>816</v>
      </c>
      <c r="Q263" s="31">
        <f>2470</f>
        <v>2470</v>
      </c>
      <c r="R263" s="32" t="s">
        <v>818</v>
      </c>
      <c r="S263" s="33">
        <f>2403.47</f>
        <v>2403.4699999999998</v>
      </c>
      <c r="T263" s="30">
        <f>934710</f>
        <v>934710</v>
      </c>
      <c r="U263" s="30" t="str">
        <f>"－"</f>
        <v>－</v>
      </c>
      <c r="V263" s="30">
        <f>2242103030</f>
        <v>2242103030</v>
      </c>
      <c r="W263" s="30" t="str">
        <f>"－"</f>
        <v>－</v>
      </c>
      <c r="X263" s="34">
        <f>19</f>
        <v>19</v>
      </c>
    </row>
    <row r="264" spans="1:24" x14ac:dyDescent="0.15">
      <c r="A264" s="25" t="s">
        <v>971</v>
      </c>
      <c r="B264" s="25" t="s">
        <v>842</v>
      </c>
      <c r="C264" s="25" t="s">
        <v>843</v>
      </c>
      <c r="D264" s="25" t="s">
        <v>844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2110.5</f>
        <v>2110.5</v>
      </c>
      <c r="L264" s="32" t="s">
        <v>909</v>
      </c>
      <c r="M264" s="31">
        <f>2165</f>
        <v>2165</v>
      </c>
      <c r="N264" s="32" t="s">
        <v>909</v>
      </c>
      <c r="O264" s="31">
        <f>1967.5</f>
        <v>1967.5</v>
      </c>
      <c r="P264" s="32" t="s">
        <v>816</v>
      </c>
      <c r="Q264" s="31">
        <f>2099</f>
        <v>2099</v>
      </c>
      <c r="R264" s="32" t="s">
        <v>818</v>
      </c>
      <c r="S264" s="33">
        <f>2029.34</f>
        <v>2029.34</v>
      </c>
      <c r="T264" s="30">
        <f>5083900</f>
        <v>5083900</v>
      </c>
      <c r="U264" s="30">
        <f>2355100</f>
        <v>2355100</v>
      </c>
      <c r="V264" s="30">
        <f>10343880346</f>
        <v>10343880346</v>
      </c>
      <c r="W264" s="30">
        <f>4779908831</f>
        <v>4779908831</v>
      </c>
      <c r="X264" s="34">
        <f>19</f>
        <v>19</v>
      </c>
    </row>
    <row r="265" spans="1:24" x14ac:dyDescent="0.15">
      <c r="A265" s="25" t="s">
        <v>971</v>
      </c>
      <c r="B265" s="25" t="s">
        <v>845</v>
      </c>
      <c r="C265" s="25" t="s">
        <v>846</v>
      </c>
      <c r="D265" s="25" t="s">
        <v>847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2504</f>
        <v>2504</v>
      </c>
      <c r="L265" s="32" t="s">
        <v>909</v>
      </c>
      <c r="M265" s="31">
        <f>2571</f>
        <v>2571</v>
      </c>
      <c r="N265" s="32" t="s">
        <v>909</v>
      </c>
      <c r="O265" s="31">
        <f>2373</f>
        <v>2373</v>
      </c>
      <c r="P265" s="32" t="s">
        <v>87</v>
      </c>
      <c r="Q265" s="31">
        <f>2533.5</f>
        <v>2533.5</v>
      </c>
      <c r="R265" s="32" t="s">
        <v>818</v>
      </c>
      <c r="S265" s="33">
        <f>2463.74</f>
        <v>2463.7399999999998</v>
      </c>
      <c r="T265" s="30">
        <f>167600</f>
        <v>167600</v>
      </c>
      <c r="U265" s="30">
        <f>80000</f>
        <v>80000</v>
      </c>
      <c r="V265" s="30">
        <f>418178675</f>
        <v>418178675</v>
      </c>
      <c r="W265" s="30">
        <f>198048000</f>
        <v>198048000</v>
      </c>
      <c r="X265" s="34">
        <f>19</f>
        <v>19</v>
      </c>
    </row>
    <row r="266" spans="1:24" x14ac:dyDescent="0.15">
      <c r="A266" s="25" t="s">
        <v>971</v>
      </c>
      <c r="B266" s="25" t="s">
        <v>848</v>
      </c>
      <c r="C266" s="25" t="s">
        <v>849</v>
      </c>
      <c r="D266" s="25" t="s">
        <v>850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2511</f>
        <v>2511</v>
      </c>
      <c r="L266" s="32" t="s">
        <v>909</v>
      </c>
      <c r="M266" s="31">
        <f>2556</f>
        <v>2556</v>
      </c>
      <c r="N266" s="32" t="s">
        <v>934</v>
      </c>
      <c r="O266" s="31">
        <f>2392</f>
        <v>2392</v>
      </c>
      <c r="P266" s="32" t="s">
        <v>905</v>
      </c>
      <c r="Q266" s="31">
        <f>2555</f>
        <v>2555</v>
      </c>
      <c r="R266" s="32" t="s">
        <v>818</v>
      </c>
      <c r="S266" s="33">
        <f>2476.89</f>
        <v>2476.89</v>
      </c>
      <c r="T266" s="30">
        <f>1165</f>
        <v>1165</v>
      </c>
      <c r="U266" s="30" t="str">
        <f t="shared" ref="U266:U273" si="12">"－"</f>
        <v>－</v>
      </c>
      <c r="V266" s="30">
        <f>2889125</f>
        <v>2889125</v>
      </c>
      <c r="W266" s="30" t="str">
        <f t="shared" ref="W266:W273" si="13">"－"</f>
        <v>－</v>
      </c>
      <c r="X266" s="34">
        <f>19</f>
        <v>19</v>
      </c>
    </row>
    <row r="267" spans="1:24" x14ac:dyDescent="0.15">
      <c r="A267" s="25" t="s">
        <v>971</v>
      </c>
      <c r="B267" s="25" t="s">
        <v>851</v>
      </c>
      <c r="C267" s="25" t="s">
        <v>852</v>
      </c>
      <c r="D267" s="25" t="s">
        <v>853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1491</f>
        <v>1491</v>
      </c>
      <c r="L267" s="32" t="s">
        <v>909</v>
      </c>
      <c r="M267" s="31">
        <f>1526</f>
        <v>1526</v>
      </c>
      <c r="N267" s="32" t="s">
        <v>818</v>
      </c>
      <c r="O267" s="31">
        <f>1439</f>
        <v>1439</v>
      </c>
      <c r="P267" s="32" t="s">
        <v>905</v>
      </c>
      <c r="Q267" s="31">
        <f>1516</f>
        <v>1516</v>
      </c>
      <c r="R267" s="32" t="s">
        <v>818</v>
      </c>
      <c r="S267" s="33">
        <f>1485.16</f>
        <v>1485.16</v>
      </c>
      <c r="T267" s="30">
        <f>121992</f>
        <v>121992</v>
      </c>
      <c r="U267" s="30" t="str">
        <f t="shared" si="12"/>
        <v>－</v>
      </c>
      <c r="V267" s="30">
        <f>179749199</f>
        <v>179749199</v>
      </c>
      <c r="W267" s="30" t="str">
        <f t="shared" si="13"/>
        <v>－</v>
      </c>
      <c r="X267" s="34">
        <f>19</f>
        <v>19</v>
      </c>
    </row>
    <row r="268" spans="1:24" x14ac:dyDescent="0.15">
      <c r="A268" s="25" t="s">
        <v>971</v>
      </c>
      <c r="B268" s="25" t="s">
        <v>854</v>
      </c>
      <c r="C268" s="25" t="s">
        <v>855</v>
      </c>
      <c r="D268" s="25" t="s">
        <v>856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1907</f>
        <v>1907</v>
      </c>
      <c r="L268" s="32" t="s">
        <v>909</v>
      </c>
      <c r="M268" s="31">
        <f>1918</f>
        <v>1918</v>
      </c>
      <c r="N268" s="32" t="s">
        <v>934</v>
      </c>
      <c r="O268" s="31">
        <f>1756</f>
        <v>1756</v>
      </c>
      <c r="P268" s="32" t="s">
        <v>813</v>
      </c>
      <c r="Q268" s="31">
        <f>1905</f>
        <v>1905</v>
      </c>
      <c r="R268" s="32" t="s">
        <v>818</v>
      </c>
      <c r="S268" s="33">
        <f>1856.47</f>
        <v>1856.47</v>
      </c>
      <c r="T268" s="30">
        <f>338614</f>
        <v>338614</v>
      </c>
      <c r="U268" s="30" t="str">
        <f t="shared" si="12"/>
        <v>－</v>
      </c>
      <c r="V268" s="30">
        <f>612434866</f>
        <v>612434866</v>
      </c>
      <c r="W268" s="30" t="str">
        <f t="shared" si="13"/>
        <v>－</v>
      </c>
      <c r="X268" s="34">
        <f>19</f>
        <v>19</v>
      </c>
    </row>
    <row r="269" spans="1:24" x14ac:dyDescent="0.15">
      <c r="A269" s="25" t="s">
        <v>971</v>
      </c>
      <c r="B269" s="25" t="s">
        <v>857</v>
      </c>
      <c r="C269" s="25" t="s">
        <v>858</v>
      </c>
      <c r="D269" s="25" t="s">
        <v>859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1619</f>
        <v>1619</v>
      </c>
      <c r="L269" s="32" t="s">
        <v>909</v>
      </c>
      <c r="M269" s="31">
        <f>1619</f>
        <v>1619</v>
      </c>
      <c r="N269" s="32" t="s">
        <v>909</v>
      </c>
      <c r="O269" s="31">
        <f>1544</f>
        <v>1544</v>
      </c>
      <c r="P269" s="32" t="s">
        <v>905</v>
      </c>
      <c r="Q269" s="31">
        <f>1584</f>
        <v>1584</v>
      </c>
      <c r="R269" s="32" t="s">
        <v>818</v>
      </c>
      <c r="S269" s="33">
        <f>1579.47</f>
        <v>1579.47</v>
      </c>
      <c r="T269" s="30">
        <f>68742</f>
        <v>68742</v>
      </c>
      <c r="U269" s="30" t="str">
        <f t="shared" si="12"/>
        <v>－</v>
      </c>
      <c r="V269" s="30">
        <f>107931061</f>
        <v>107931061</v>
      </c>
      <c r="W269" s="30" t="str">
        <f t="shared" si="13"/>
        <v>－</v>
      </c>
      <c r="X269" s="34">
        <f>19</f>
        <v>19</v>
      </c>
    </row>
    <row r="270" spans="1:24" x14ac:dyDescent="0.15">
      <c r="A270" s="25" t="s">
        <v>971</v>
      </c>
      <c r="B270" s="25" t="s">
        <v>860</v>
      </c>
      <c r="C270" s="25" t="s">
        <v>861</v>
      </c>
      <c r="D270" s="25" t="s">
        <v>862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2611</f>
        <v>2611</v>
      </c>
      <c r="L270" s="32" t="s">
        <v>909</v>
      </c>
      <c r="M270" s="31">
        <f>2792</f>
        <v>2792</v>
      </c>
      <c r="N270" s="32" t="s">
        <v>818</v>
      </c>
      <c r="O270" s="31">
        <f>2493</f>
        <v>2493</v>
      </c>
      <c r="P270" s="32" t="s">
        <v>905</v>
      </c>
      <c r="Q270" s="31">
        <f>2777</f>
        <v>2777</v>
      </c>
      <c r="R270" s="32" t="s">
        <v>818</v>
      </c>
      <c r="S270" s="33">
        <f>2659.16</f>
        <v>2659.16</v>
      </c>
      <c r="T270" s="30">
        <f>57222</f>
        <v>57222</v>
      </c>
      <c r="U270" s="30" t="str">
        <f t="shared" si="12"/>
        <v>－</v>
      </c>
      <c r="V270" s="30">
        <f>147933412</f>
        <v>147933412</v>
      </c>
      <c r="W270" s="30" t="str">
        <f t="shared" si="13"/>
        <v>－</v>
      </c>
      <c r="X270" s="34">
        <f>19</f>
        <v>19</v>
      </c>
    </row>
    <row r="271" spans="1:24" x14ac:dyDescent="0.15">
      <c r="A271" s="25" t="s">
        <v>971</v>
      </c>
      <c r="B271" s="25" t="s">
        <v>863</v>
      </c>
      <c r="C271" s="25" t="s">
        <v>864</v>
      </c>
      <c r="D271" s="25" t="s">
        <v>865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2060</f>
        <v>2060</v>
      </c>
      <c r="L271" s="32" t="s">
        <v>909</v>
      </c>
      <c r="M271" s="31">
        <f>2078</f>
        <v>2078</v>
      </c>
      <c r="N271" s="32" t="s">
        <v>818</v>
      </c>
      <c r="O271" s="31">
        <f>1957</f>
        <v>1957</v>
      </c>
      <c r="P271" s="32" t="s">
        <v>813</v>
      </c>
      <c r="Q271" s="31">
        <f>2068</f>
        <v>2068</v>
      </c>
      <c r="R271" s="32" t="s">
        <v>818</v>
      </c>
      <c r="S271" s="33">
        <f>2023</f>
        <v>2023</v>
      </c>
      <c r="T271" s="30">
        <f>204488</f>
        <v>204488</v>
      </c>
      <c r="U271" s="30" t="str">
        <f t="shared" si="12"/>
        <v>－</v>
      </c>
      <c r="V271" s="30">
        <f>408574872</f>
        <v>408574872</v>
      </c>
      <c r="W271" s="30" t="str">
        <f t="shared" si="13"/>
        <v>－</v>
      </c>
      <c r="X271" s="34">
        <f>19</f>
        <v>19</v>
      </c>
    </row>
    <row r="272" spans="1:24" x14ac:dyDescent="0.15">
      <c r="A272" s="25" t="s">
        <v>971</v>
      </c>
      <c r="B272" s="25" t="s">
        <v>866</v>
      </c>
      <c r="C272" s="25" t="s">
        <v>867</v>
      </c>
      <c r="D272" s="25" t="s">
        <v>868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25370</f>
        <v>25370</v>
      </c>
      <c r="L272" s="32" t="s">
        <v>909</v>
      </c>
      <c r="M272" s="31">
        <f>25675</f>
        <v>25675</v>
      </c>
      <c r="N272" s="32" t="s">
        <v>934</v>
      </c>
      <c r="O272" s="31">
        <f>24475</f>
        <v>24475</v>
      </c>
      <c r="P272" s="32" t="s">
        <v>813</v>
      </c>
      <c r="Q272" s="31">
        <f>25500</f>
        <v>25500</v>
      </c>
      <c r="R272" s="32" t="s">
        <v>818</v>
      </c>
      <c r="S272" s="33">
        <f>25069.29</f>
        <v>25069.29</v>
      </c>
      <c r="T272" s="30">
        <f>65</f>
        <v>65</v>
      </c>
      <c r="U272" s="30" t="str">
        <f t="shared" si="12"/>
        <v>－</v>
      </c>
      <c r="V272" s="30">
        <f>1627310</f>
        <v>1627310</v>
      </c>
      <c r="W272" s="30" t="str">
        <f t="shared" si="13"/>
        <v>－</v>
      </c>
      <c r="X272" s="34">
        <f>14</f>
        <v>14</v>
      </c>
    </row>
    <row r="273" spans="1:24" x14ac:dyDescent="0.15">
      <c r="A273" s="25" t="s">
        <v>971</v>
      </c>
      <c r="B273" s="25" t="s">
        <v>869</v>
      </c>
      <c r="C273" s="25" t="s">
        <v>870</v>
      </c>
      <c r="D273" s="25" t="s">
        <v>871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1919</f>
        <v>1919</v>
      </c>
      <c r="L273" s="32" t="s">
        <v>909</v>
      </c>
      <c r="M273" s="31">
        <f>2022</f>
        <v>2022</v>
      </c>
      <c r="N273" s="32" t="s">
        <v>818</v>
      </c>
      <c r="O273" s="31">
        <f>1904</f>
        <v>1904</v>
      </c>
      <c r="P273" s="32" t="s">
        <v>813</v>
      </c>
      <c r="Q273" s="31">
        <f>2015</f>
        <v>2015</v>
      </c>
      <c r="R273" s="32" t="s">
        <v>818</v>
      </c>
      <c r="S273" s="33">
        <f>1970.74</f>
        <v>1970.74</v>
      </c>
      <c r="T273" s="30">
        <f>2706</f>
        <v>2706</v>
      </c>
      <c r="U273" s="30" t="str">
        <f t="shared" si="12"/>
        <v>－</v>
      </c>
      <c r="V273" s="30">
        <f>5324875</f>
        <v>5324875</v>
      </c>
      <c r="W273" s="30" t="str">
        <f t="shared" si="13"/>
        <v>－</v>
      </c>
      <c r="X273" s="34">
        <f>19</f>
        <v>19</v>
      </c>
    </row>
    <row r="274" spans="1:24" x14ac:dyDescent="0.15">
      <c r="A274" s="25" t="s">
        <v>971</v>
      </c>
      <c r="B274" s="25" t="s">
        <v>872</v>
      </c>
      <c r="C274" s="25" t="s">
        <v>873</v>
      </c>
      <c r="D274" s="25" t="s">
        <v>874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2127</f>
        <v>2127</v>
      </c>
      <c r="L274" s="32" t="s">
        <v>909</v>
      </c>
      <c r="M274" s="31">
        <f>2273</f>
        <v>2273</v>
      </c>
      <c r="N274" s="32" t="s">
        <v>934</v>
      </c>
      <c r="O274" s="31">
        <f>2018</f>
        <v>2018</v>
      </c>
      <c r="P274" s="32" t="s">
        <v>905</v>
      </c>
      <c r="Q274" s="31">
        <f>2236</f>
        <v>2236</v>
      </c>
      <c r="R274" s="32" t="s">
        <v>818</v>
      </c>
      <c r="S274" s="33">
        <f>2145.74</f>
        <v>2145.7399999999998</v>
      </c>
      <c r="T274" s="30">
        <f>429658</f>
        <v>429658</v>
      </c>
      <c r="U274" s="30">
        <f>80000</f>
        <v>80000</v>
      </c>
      <c r="V274" s="30">
        <f>938862739</f>
        <v>938862739</v>
      </c>
      <c r="W274" s="30">
        <f>179720000</f>
        <v>179720000</v>
      </c>
      <c r="X274" s="34">
        <f>19</f>
        <v>19</v>
      </c>
    </row>
    <row r="275" spans="1:24" x14ac:dyDescent="0.15">
      <c r="A275" s="25" t="s">
        <v>971</v>
      </c>
      <c r="B275" s="25" t="s">
        <v>875</v>
      </c>
      <c r="C275" s="25" t="s">
        <v>876</v>
      </c>
      <c r="D275" s="25" t="s">
        <v>877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1873</f>
        <v>1873</v>
      </c>
      <c r="L275" s="32" t="s">
        <v>909</v>
      </c>
      <c r="M275" s="31">
        <f>1873</f>
        <v>1873</v>
      </c>
      <c r="N275" s="32" t="s">
        <v>909</v>
      </c>
      <c r="O275" s="31">
        <f>1738</f>
        <v>1738</v>
      </c>
      <c r="P275" s="32" t="s">
        <v>813</v>
      </c>
      <c r="Q275" s="31">
        <f>1817</f>
        <v>1817</v>
      </c>
      <c r="R275" s="32" t="s">
        <v>818</v>
      </c>
      <c r="S275" s="33">
        <f>1797.58</f>
        <v>1797.58</v>
      </c>
      <c r="T275" s="30">
        <f>53328</f>
        <v>53328</v>
      </c>
      <c r="U275" s="30" t="str">
        <f>"－"</f>
        <v>－</v>
      </c>
      <c r="V275" s="30">
        <f>96456731</f>
        <v>96456731</v>
      </c>
      <c r="W275" s="30" t="str">
        <f>"－"</f>
        <v>－</v>
      </c>
      <c r="X275" s="34">
        <f>19</f>
        <v>19</v>
      </c>
    </row>
    <row r="276" spans="1:24" x14ac:dyDescent="0.15">
      <c r="A276" s="25" t="s">
        <v>971</v>
      </c>
      <c r="B276" s="25" t="s">
        <v>878</v>
      </c>
      <c r="C276" s="25" t="s">
        <v>879</v>
      </c>
      <c r="D276" s="25" t="s">
        <v>880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1408</f>
        <v>1408</v>
      </c>
      <c r="L276" s="32" t="s">
        <v>909</v>
      </c>
      <c r="M276" s="31">
        <f>1442</f>
        <v>1442</v>
      </c>
      <c r="N276" s="32" t="s">
        <v>80</v>
      </c>
      <c r="O276" s="31">
        <f>1330</f>
        <v>1330</v>
      </c>
      <c r="P276" s="32" t="s">
        <v>821</v>
      </c>
      <c r="Q276" s="31">
        <f>1400</f>
        <v>1400</v>
      </c>
      <c r="R276" s="32" t="s">
        <v>818</v>
      </c>
      <c r="S276" s="33">
        <f>1376.47</f>
        <v>1376.47</v>
      </c>
      <c r="T276" s="30">
        <f>15081</f>
        <v>15081</v>
      </c>
      <c r="U276" s="30" t="str">
        <f>"－"</f>
        <v>－</v>
      </c>
      <c r="V276" s="30">
        <f>20671043</f>
        <v>20671043</v>
      </c>
      <c r="W276" s="30" t="str">
        <f>"－"</f>
        <v>－</v>
      </c>
      <c r="X276" s="34">
        <f>19</f>
        <v>19</v>
      </c>
    </row>
    <row r="277" spans="1:24" x14ac:dyDescent="0.15">
      <c r="A277" s="25" t="s">
        <v>971</v>
      </c>
      <c r="B277" s="25" t="s">
        <v>881</v>
      </c>
      <c r="C277" s="25" t="s">
        <v>882</v>
      </c>
      <c r="D277" s="25" t="s">
        <v>883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5152</f>
        <v>5152</v>
      </c>
      <c r="L277" s="32" t="s">
        <v>909</v>
      </c>
      <c r="M277" s="31">
        <f>5156</f>
        <v>5156</v>
      </c>
      <c r="N277" s="32" t="s">
        <v>813</v>
      </c>
      <c r="O277" s="31">
        <f>5091</f>
        <v>5091</v>
      </c>
      <c r="P277" s="32" t="s">
        <v>935</v>
      </c>
      <c r="Q277" s="31">
        <f>5123</f>
        <v>5123</v>
      </c>
      <c r="R277" s="32" t="s">
        <v>818</v>
      </c>
      <c r="S277" s="33">
        <f>5120.4</f>
        <v>5120.3999999999996</v>
      </c>
      <c r="T277" s="30">
        <f>189390</f>
        <v>189390</v>
      </c>
      <c r="U277" s="30">
        <f>90730</f>
        <v>90730</v>
      </c>
      <c r="V277" s="30">
        <f>970886927</f>
        <v>970886927</v>
      </c>
      <c r="W277" s="30">
        <f>463932317</f>
        <v>463932317</v>
      </c>
      <c r="X277" s="34">
        <f>15</f>
        <v>15</v>
      </c>
    </row>
    <row r="278" spans="1:24" x14ac:dyDescent="0.15">
      <c r="A278" s="25" t="s">
        <v>971</v>
      </c>
      <c r="B278" s="25" t="s">
        <v>884</v>
      </c>
      <c r="C278" s="25" t="s">
        <v>885</v>
      </c>
      <c r="D278" s="25" t="s">
        <v>886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4405</f>
        <v>4405</v>
      </c>
      <c r="L278" s="32" t="s">
        <v>80</v>
      </c>
      <c r="M278" s="31">
        <f>4503</f>
        <v>4503</v>
      </c>
      <c r="N278" s="32" t="s">
        <v>818</v>
      </c>
      <c r="O278" s="31">
        <f>4391</f>
        <v>4391</v>
      </c>
      <c r="P278" s="32" t="s">
        <v>911</v>
      </c>
      <c r="Q278" s="31">
        <f>4503</f>
        <v>4503</v>
      </c>
      <c r="R278" s="32" t="s">
        <v>818</v>
      </c>
      <c r="S278" s="33">
        <f>4438</f>
        <v>4438</v>
      </c>
      <c r="T278" s="30">
        <f>1032510</f>
        <v>1032510</v>
      </c>
      <c r="U278" s="30">
        <f>1002400</f>
        <v>1002400</v>
      </c>
      <c r="V278" s="30">
        <f>4639441140</f>
        <v>4639441140</v>
      </c>
      <c r="W278" s="30">
        <f>4503866040</f>
        <v>4503866040</v>
      </c>
      <c r="X278" s="34">
        <f>5</f>
        <v>5</v>
      </c>
    </row>
    <row r="279" spans="1:24" x14ac:dyDescent="0.15">
      <c r="A279" s="25" t="s">
        <v>971</v>
      </c>
      <c r="B279" s="25" t="s">
        <v>887</v>
      </c>
      <c r="C279" s="25" t="s">
        <v>888</v>
      </c>
      <c r="D279" s="25" t="s">
        <v>889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746.9</f>
        <v>746.9</v>
      </c>
      <c r="L279" s="32" t="s">
        <v>909</v>
      </c>
      <c r="M279" s="31">
        <f>754.1</f>
        <v>754.1</v>
      </c>
      <c r="N279" s="32" t="s">
        <v>815</v>
      </c>
      <c r="O279" s="31">
        <f>737.3</f>
        <v>737.3</v>
      </c>
      <c r="P279" s="32" t="s">
        <v>911</v>
      </c>
      <c r="Q279" s="31">
        <f>752.3</f>
        <v>752.3</v>
      </c>
      <c r="R279" s="32" t="s">
        <v>934</v>
      </c>
      <c r="S279" s="33">
        <f>746.26</f>
        <v>746.26</v>
      </c>
      <c r="T279" s="30">
        <f>96870</f>
        <v>96870</v>
      </c>
      <c r="U279" s="30" t="str">
        <f>"－"</f>
        <v>－</v>
      </c>
      <c r="V279" s="30">
        <f>72796958</f>
        <v>72796958</v>
      </c>
      <c r="W279" s="30" t="str">
        <f>"－"</f>
        <v>－</v>
      </c>
      <c r="X279" s="34">
        <f>16</f>
        <v>16</v>
      </c>
    </row>
    <row r="280" spans="1:24" x14ac:dyDescent="0.15">
      <c r="A280" s="25" t="s">
        <v>971</v>
      </c>
      <c r="B280" s="25" t="s">
        <v>891</v>
      </c>
      <c r="C280" s="25" t="s">
        <v>892</v>
      </c>
      <c r="D280" s="25" t="s">
        <v>893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2115</f>
        <v>2115</v>
      </c>
      <c r="L280" s="32" t="s">
        <v>909</v>
      </c>
      <c r="M280" s="31">
        <f>2135</f>
        <v>2135</v>
      </c>
      <c r="N280" s="32" t="s">
        <v>909</v>
      </c>
      <c r="O280" s="31">
        <f>1893</f>
        <v>1893</v>
      </c>
      <c r="P280" s="32" t="s">
        <v>816</v>
      </c>
      <c r="Q280" s="31">
        <f>2022</f>
        <v>2022</v>
      </c>
      <c r="R280" s="32" t="s">
        <v>818</v>
      </c>
      <c r="S280" s="33">
        <f>1992.05</f>
        <v>1992.05</v>
      </c>
      <c r="T280" s="30">
        <f>21632</f>
        <v>21632</v>
      </c>
      <c r="U280" s="30">
        <f>7500</f>
        <v>7500</v>
      </c>
      <c r="V280" s="30">
        <f>42655266</f>
        <v>42655266</v>
      </c>
      <c r="W280" s="30">
        <f>14838750</f>
        <v>14838750</v>
      </c>
      <c r="X280" s="34">
        <f>19</f>
        <v>19</v>
      </c>
    </row>
    <row r="281" spans="1:24" x14ac:dyDescent="0.15">
      <c r="A281" s="25" t="s">
        <v>971</v>
      </c>
      <c r="B281" s="25" t="s">
        <v>894</v>
      </c>
      <c r="C281" s="25" t="s">
        <v>895</v>
      </c>
      <c r="D281" s="25" t="s">
        <v>896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1846</f>
        <v>1846</v>
      </c>
      <c r="L281" s="32" t="s">
        <v>909</v>
      </c>
      <c r="M281" s="31">
        <f>1872</f>
        <v>1872</v>
      </c>
      <c r="N281" s="32" t="s">
        <v>906</v>
      </c>
      <c r="O281" s="31">
        <f>1750</f>
        <v>1750</v>
      </c>
      <c r="P281" s="32" t="s">
        <v>813</v>
      </c>
      <c r="Q281" s="31">
        <f>1835</f>
        <v>1835</v>
      </c>
      <c r="R281" s="32" t="s">
        <v>818</v>
      </c>
      <c r="S281" s="33">
        <f>1805.32</f>
        <v>1805.32</v>
      </c>
      <c r="T281" s="30">
        <f>43130</f>
        <v>43130</v>
      </c>
      <c r="U281" s="30" t="str">
        <f>"－"</f>
        <v>－</v>
      </c>
      <c r="V281" s="30">
        <f>77755668</f>
        <v>77755668</v>
      </c>
      <c r="W281" s="30" t="str">
        <f>"－"</f>
        <v>－</v>
      </c>
      <c r="X281" s="34">
        <f>19</f>
        <v>19</v>
      </c>
    </row>
    <row r="282" spans="1:24" x14ac:dyDescent="0.15">
      <c r="A282" s="25" t="s">
        <v>971</v>
      </c>
      <c r="B282" s="25" t="s">
        <v>897</v>
      </c>
      <c r="C282" s="25" t="s">
        <v>898</v>
      </c>
      <c r="D282" s="25" t="s">
        <v>899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7688</f>
        <v>7688</v>
      </c>
      <c r="L282" s="32" t="s">
        <v>909</v>
      </c>
      <c r="M282" s="31">
        <f>7692</f>
        <v>7692</v>
      </c>
      <c r="N282" s="32" t="s">
        <v>80</v>
      </c>
      <c r="O282" s="31">
        <f>7578</f>
        <v>7578</v>
      </c>
      <c r="P282" s="32" t="s">
        <v>935</v>
      </c>
      <c r="Q282" s="31">
        <f>7626</f>
        <v>7626</v>
      </c>
      <c r="R282" s="32" t="s">
        <v>818</v>
      </c>
      <c r="S282" s="33">
        <f>7621.26</f>
        <v>7621.26</v>
      </c>
      <c r="T282" s="30">
        <f>129384</f>
        <v>129384</v>
      </c>
      <c r="U282" s="30">
        <f>23110</f>
        <v>23110</v>
      </c>
      <c r="V282" s="30">
        <f>986766922</f>
        <v>986766922</v>
      </c>
      <c r="W282" s="30">
        <f>177000245</f>
        <v>177000245</v>
      </c>
      <c r="X282" s="34">
        <f>19</f>
        <v>19</v>
      </c>
    </row>
    <row r="283" spans="1:24" x14ac:dyDescent="0.15">
      <c r="A283" s="25" t="s">
        <v>971</v>
      </c>
      <c r="B283" s="25" t="s">
        <v>900</v>
      </c>
      <c r="C283" s="25" t="s">
        <v>901</v>
      </c>
      <c r="D283" s="25" t="s">
        <v>902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6637</f>
        <v>6637</v>
      </c>
      <c r="L283" s="32" t="s">
        <v>909</v>
      </c>
      <c r="M283" s="31">
        <f>6800</f>
        <v>6800</v>
      </c>
      <c r="N283" s="32" t="s">
        <v>934</v>
      </c>
      <c r="O283" s="31">
        <f>6515</f>
        <v>6515</v>
      </c>
      <c r="P283" s="32" t="s">
        <v>911</v>
      </c>
      <c r="Q283" s="31">
        <f>6702</f>
        <v>6702</v>
      </c>
      <c r="R283" s="32" t="s">
        <v>818</v>
      </c>
      <c r="S283" s="33">
        <f>6670.33</f>
        <v>6670.33</v>
      </c>
      <c r="T283" s="30">
        <f>6318</f>
        <v>6318</v>
      </c>
      <c r="U283" s="30" t="str">
        <f>"－"</f>
        <v>－</v>
      </c>
      <c r="V283" s="30">
        <f>41912495</f>
        <v>41912495</v>
      </c>
      <c r="W283" s="30" t="str">
        <f>"－"</f>
        <v>－</v>
      </c>
      <c r="X283" s="34">
        <f>12</f>
        <v>12</v>
      </c>
    </row>
    <row r="284" spans="1:24" x14ac:dyDescent="0.15">
      <c r="A284" s="25" t="s">
        <v>971</v>
      </c>
      <c r="B284" s="25" t="s">
        <v>916</v>
      </c>
      <c r="C284" s="25" t="s">
        <v>917</v>
      </c>
      <c r="D284" s="25" t="s">
        <v>918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15750</f>
        <v>15750</v>
      </c>
      <c r="L284" s="32" t="s">
        <v>909</v>
      </c>
      <c r="M284" s="31">
        <f>15895</f>
        <v>15895</v>
      </c>
      <c r="N284" s="32" t="s">
        <v>909</v>
      </c>
      <c r="O284" s="31">
        <f>14090</f>
        <v>14090</v>
      </c>
      <c r="P284" s="32" t="s">
        <v>815</v>
      </c>
      <c r="Q284" s="31">
        <f>15350</f>
        <v>15350</v>
      </c>
      <c r="R284" s="32" t="s">
        <v>818</v>
      </c>
      <c r="S284" s="33">
        <f>14913.95</f>
        <v>14913.95</v>
      </c>
      <c r="T284" s="30">
        <f>306536</f>
        <v>306536</v>
      </c>
      <c r="U284" s="30">
        <f>67847</f>
        <v>67847</v>
      </c>
      <c r="V284" s="30">
        <f>4564962761</f>
        <v>4564962761</v>
      </c>
      <c r="W284" s="30">
        <f>998723641</f>
        <v>998723641</v>
      </c>
      <c r="X284" s="34">
        <f>19</f>
        <v>19</v>
      </c>
    </row>
    <row r="285" spans="1:24" x14ac:dyDescent="0.15">
      <c r="A285" s="25" t="s">
        <v>971</v>
      </c>
      <c r="B285" s="25" t="s">
        <v>920</v>
      </c>
      <c r="C285" s="25" t="s">
        <v>921</v>
      </c>
      <c r="D285" s="25" t="s">
        <v>922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9169</f>
        <v>9169</v>
      </c>
      <c r="L285" s="32" t="s">
        <v>909</v>
      </c>
      <c r="M285" s="31">
        <f>9169</f>
        <v>9169</v>
      </c>
      <c r="N285" s="32" t="s">
        <v>909</v>
      </c>
      <c r="O285" s="31">
        <f>8309</f>
        <v>8309</v>
      </c>
      <c r="P285" s="32" t="s">
        <v>815</v>
      </c>
      <c r="Q285" s="31">
        <f>8962</f>
        <v>8962</v>
      </c>
      <c r="R285" s="32" t="s">
        <v>818</v>
      </c>
      <c r="S285" s="33">
        <f>8650.26</f>
        <v>8650.26</v>
      </c>
      <c r="T285" s="30">
        <f>230103</f>
        <v>230103</v>
      </c>
      <c r="U285" s="30" t="str">
        <f>"－"</f>
        <v>－</v>
      </c>
      <c r="V285" s="30">
        <f>1986541390</f>
        <v>1986541390</v>
      </c>
      <c r="W285" s="30" t="str">
        <f>"－"</f>
        <v>－</v>
      </c>
      <c r="X285" s="34">
        <f>19</f>
        <v>19</v>
      </c>
    </row>
    <row r="286" spans="1:24" x14ac:dyDescent="0.15">
      <c r="A286" s="25" t="s">
        <v>971</v>
      </c>
      <c r="B286" s="25" t="s">
        <v>923</v>
      </c>
      <c r="C286" s="25" t="s">
        <v>924</v>
      </c>
      <c r="D286" s="25" t="s">
        <v>925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30470</f>
        <v>30470</v>
      </c>
      <c r="L286" s="32" t="s">
        <v>909</v>
      </c>
      <c r="M286" s="31">
        <f>32400</f>
        <v>32400</v>
      </c>
      <c r="N286" s="32" t="s">
        <v>815</v>
      </c>
      <c r="O286" s="31">
        <f>29575</f>
        <v>29575</v>
      </c>
      <c r="P286" s="32" t="s">
        <v>934</v>
      </c>
      <c r="Q286" s="31">
        <f>29870</f>
        <v>29870</v>
      </c>
      <c r="R286" s="32" t="s">
        <v>818</v>
      </c>
      <c r="S286" s="33">
        <f>31212.89</f>
        <v>31212.89</v>
      </c>
      <c r="T286" s="30">
        <f>247677</f>
        <v>247677</v>
      </c>
      <c r="U286" s="30">
        <f>3</f>
        <v>3</v>
      </c>
      <c r="V286" s="30">
        <f>7723074195</f>
        <v>7723074195</v>
      </c>
      <c r="W286" s="30">
        <f>96870</f>
        <v>96870</v>
      </c>
      <c r="X286" s="34">
        <f>19</f>
        <v>19</v>
      </c>
    </row>
    <row r="287" spans="1:24" x14ac:dyDescent="0.15">
      <c r="A287" s="25" t="s">
        <v>971</v>
      </c>
      <c r="B287" s="25" t="s">
        <v>926</v>
      </c>
      <c r="C287" s="25" t="s">
        <v>927</v>
      </c>
      <c r="D287" s="25" t="s">
        <v>928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4593</f>
        <v>4593</v>
      </c>
      <c r="L287" s="32" t="s">
        <v>909</v>
      </c>
      <c r="M287" s="31">
        <f>4593</f>
        <v>4593</v>
      </c>
      <c r="N287" s="32" t="s">
        <v>909</v>
      </c>
      <c r="O287" s="31">
        <f>4475</f>
        <v>4475</v>
      </c>
      <c r="P287" s="32" t="s">
        <v>911</v>
      </c>
      <c r="Q287" s="31">
        <f>4550</f>
        <v>4550</v>
      </c>
      <c r="R287" s="32" t="s">
        <v>818</v>
      </c>
      <c r="S287" s="33">
        <f>4536.73</f>
        <v>4536.7299999999996</v>
      </c>
      <c r="T287" s="30">
        <f>273140</f>
        <v>273140</v>
      </c>
      <c r="U287" s="30">
        <f>100000</f>
        <v>100000</v>
      </c>
      <c r="V287" s="30">
        <f>1243368640</f>
        <v>1243368640</v>
      </c>
      <c r="W287" s="30">
        <f>457295000</f>
        <v>457295000</v>
      </c>
      <c r="X287" s="34">
        <f>15</f>
        <v>15</v>
      </c>
    </row>
    <row r="288" spans="1:24" x14ac:dyDescent="0.15">
      <c r="A288" s="25" t="s">
        <v>971</v>
      </c>
      <c r="B288" s="25" t="s">
        <v>930</v>
      </c>
      <c r="C288" s="25" t="s">
        <v>931</v>
      </c>
      <c r="D288" s="25" t="s">
        <v>932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5136</f>
        <v>5136</v>
      </c>
      <c r="L288" s="32" t="s">
        <v>909</v>
      </c>
      <c r="M288" s="31">
        <f>5136</f>
        <v>5136</v>
      </c>
      <c r="N288" s="32" t="s">
        <v>909</v>
      </c>
      <c r="O288" s="31">
        <f>4883</f>
        <v>4883</v>
      </c>
      <c r="P288" s="32" t="s">
        <v>813</v>
      </c>
      <c r="Q288" s="31">
        <f>5075</f>
        <v>5075</v>
      </c>
      <c r="R288" s="32" t="s">
        <v>818</v>
      </c>
      <c r="S288" s="33">
        <f>4988.25</f>
        <v>4988.25</v>
      </c>
      <c r="T288" s="30">
        <f>172300</f>
        <v>172300</v>
      </c>
      <c r="U288" s="30">
        <f>51940</f>
        <v>51940</v>
      </c>
      <c r="V288" s="30">
        <f>862683871</f>
        <v>862683871</v>
      </c>
      <c r="W288" s="30">
        <f>262249441</f>
        <v>262249441</v>
      </c>
      <c r="X288" s="34">
        <f>16</f>
        <v>16</v>
      </c>
    </row>
    <row r="289" spans="1:24" x14ac:dyDescent="0.15">
      <c r="A289" s="25" t="s">
        <v>971</v>
      </c>
      <c r="B289" s="25" t="s">
        <v>949</v>
      </c>
      <c r="C289" s="25" t="s">
        <v>950</v>
      </c>
      <c r="D289" s="25" t="s">
        <v>951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1924</f>
        <v>1924</v>
      </c>
      <c r="L289" s="32" t="s">
        <v>909</v>
      </c>
      <c r="M289" s="31">
        <f>1966</f>
        <v>1966</v>
      </c>
      <c r="N289" s="32" t="s">
        <v>909</v>
      </c>
      <c r="O289" s="31">
        <f>1731</f>
        <v>1731</v>
      </c>
      <c r="P289" s="32" t="s">
        <v>815</v>
      </c>
      <c r="Q289" s="31">
        <f>1867</f>
        <v>1867</v>
      </c>
      <c r="R289" s="32" t="s">
        <v>818</v>
      </c>
      <c r="S289" s="33">
        <f>1802.97</f>
        <v>1802.97</v>
      </c>
      <c r="T289" s="30">
        <f>2174820</f>
        <v>2174820</v>
      </c>
      <c r="U289" s="30" t="str">
        <f>"－"</f>
        <v>－</v>
      </c>
      <c r="V289" s="30">
        <f>3907987160</f>
        <v>3907987160</v>
      </c>
      <c r="W289" s="30" t="str">
        <f>"－"</f>
        <v>－</v>
      </c>
      <c r="X289" s="34">
        <f>19</f>
        <v>19</v>
      </c>
    </row>
    <row r="290" spans="1:24" x14ac:dyDescent="0.15">
      <c r="A290" s="25" t="s">
        <v>971</v>
      </c>
      <c r="B290" s="25" t="s">
        <v>953</v>
      </c>
      <c r="C290" s="25" t="s">
        <v>954</v>
      </c>
      <c r="D290" s="25" t="s">
        <v>955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1930</f>
        <v>1930</v>
      </c>
      <c r="L290" s="32" t="s">
        <v>909</v>
      </c>
      <c r="M290" s="31">
        <f>2236.5</f>
        <v>2236.5</v>
      </c>
      <c r="N290" s="32" t="s">
        <v>911</v>
      </c>
      <c r="O290" s="31">
        <f>1850.5</f>
        <v>1850.5</v>
      </c>
      <c r="P290" s="32" t="s">
        <v>816</v>
      </c>
      <c r="Q290" s="31">
        <f>1962</f>
        <v>1962</v>
      </c>
      <c r="R290" s="32" t="s">
        <v>818</v>
      </c>
      <c r="S290" s="33">
        <f>1904.82</f>
        <v>1904.82</v>
      </c>
      <c r="T290" s="30">
        <f>774750</f>
        <v>774750</v>
      </c>
      <c r="U290" s="30">
        <f>520000</f>
        <v>520000</v>
      </c>
      <c r="V290" s="30">
        <f>1473996673</f>
        <v>1473996673</v>
      </c>
      <c r="W290" s="30">
        <f>990630053</f>
        <v>990630053</v>
      </c>
      <c r="X290" s="34">
        <f>19</f>
        <v>19</v>
      </c>
    </row>
    <row r="291" spans="1:24" x14ac:dyDescent="0.15">
      <c r="A291" s="25" t="s">
        <v>971</v>
      </c>
      <c r="B291" s="25" t="s">
        <v>956</v>
      </c>
      <c r="C291" s="25" t="s">
        <v>957</v>
      </c>
      <c r="D291" s="25" t="s">
        <v>958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1496</f>
        <v>1496</v>
      </c>
      <c r="L291" s="32" t="s">
        <v>909</v>
      </c>
      <c r="M291" s="31">
        <f>1561</f>
        <v>1561</v>
      </c>
      <c r="N291" s="32" t="s">
        <v>906</v>
      </c>
      <c r="O291" s="31">
        <f>1463</f>
        <v>1463</v>
      </c>
      <c r="P291" s="32" t="s">
        <v>905</v>
      </c>
      <c r="Q291" s="31">
        <f>1531</f>
        <v>1531</v>
      </c>
      <c r="R291" s="32" t="s">
        <v>818</v>
      </c>
      <c r="S291" s="33">
        <f>1502.33</f>
        <v>1502.33</v>
      </c>
      <c r="T291" s="30">
        <f>4096</f>
        <v>4096</v>
      </c>
      <c r="U291" s="30" t="str">
        <f>"－"</f>
        <v>－</v>
      </c>
      <c r="V291" s="30">
        <f>6124305</f>
        <v>6124305</v>
      </c>
      <c r="W291" s="30" t="str">
        <f>"－"</f>
        <v>－</v>
      </c>
      <c r="X291" s="34">
        <f>18</f>
        <v>18</v>
      </c>
    </row>
    <row r="292" spans="1:24" x14ac:dyDescent="0.15">
      <c r="A292" s="25" t="s">
        <v>971</v>
      </c>
      <c r="B292" s="25" t="s">
        <v>960</v>
      </c>
      <c r="C292" s="25" t="s">
        <v>961</v>
      </c>
      <c r="D292" s="25" t="s">
        <v>962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1513</f>
        <v>1513</v>
      </c>
      <c r="L292" s="32" t="s">
        <v>80</v>
      </c>
      <c r="M292" s="31">
        <f>1536</f>
        <v>1536</v>
      </c>
      <c r="N292" s="32" t="s">
        <v>934</v>
      </c>
      <c r="O292" s="31">
        <f>1450</f>
        <v>1450</v>
      </c>
      <c r="P292" s="32" t="s">
        <v>813</v>
      </c>
      <c r="Q292" s="31">
        <f>1528</f>
        <v>1528</v>
      </c>
      <c r="R292" s="32" t="s">
        <v>818</v>
      </c>
      <c r="S292" s="33">
        <f>1495.83</f>
        <v>1495.83</v>
      </c>
      <c r="T292" s="30">
        <f>4586</f>
        <v>4586</v>
      </c>
      <c r="U292" s="30" t="str">
        <f>"－"</f>
        <v>－</v>
      </c>
      <c r="V292" s="30">
        <f>6756077</f>
        <v>6756077</v>
      </c>
      <c r="W292" s="30" t="str">
        <f>"－"</f>
        <v>－</v>
      </c>
      <c r="X292" s="34">
        <f>18</f>
        <v>18</v>
      </c>
    </row>
    <row r="293" spans="1:24" x14ac:dyDescent="0.15">
      <c r="A293" s="25" t="s">
        <v>971</v>
      </c>
      <c r="B293" s="25" t="s">
        <v>963</v>
      </c>
      <c r="C293" s="25" t="s">
        <v>964</v>
      </c>
      <c r="D293" s="25" t="s">
        <v>965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2984</f>
        <v>2984</v>
      </c>
      <c r="L293" s="32" t="s">
        <v>909</v>
      </c>
      <c r="M293" s="31">
        <f>3110</f>
        <v>3110</v>
      </c>
      <c r="N293" s="32" t="s">
        <v>935</v>
      </c>
      <c r="O293" s="31">
        <f>2960</f>
        <v>2960</v>
      </c>
      <c r="P293" s="32" t="s">
        <v>813</v>
      </c>
      <c r="Q293" s="31">
        <f>3075</f>
        <v>3075</v>
      </c>
      <c r="R293" s="32" t="s">
        <v>818</v>
      </c>
      <c r="S293" s="33">
        <f>3048.47</f>
        <v>3048.47</v>
      </c>
      <c r="T293" s="30">
        <f>2089</f>
        <v>2089</v>
      </c>
      <c r="U293" s="30" t="str">
        <f>"－"</f>
        <v>－</v>
      </c>
      <c r="V293" s="30">
        <f>6328211</f>
        <v>6328211</v>
      </c>
      <c r="W293" s="30" t="str">
        <f>"－"</f>
        <v>－</v>
      </c>
      <c r="X293" s="34">
        <f>19</f>
        <v>19</v>
      </c>
    </row>
    <row r="294" spans="1:24" x14ac:dyDescent="0.15">
      <c r="A294" s="25" t="s">
        <v>971</v>
      </c>
      <c r="B294" s="25" t="s">
        <v>967</v>
      </c>
      <c r="C294" s="25" t="s">
        <v>968</v>
      </c>
      <c r="D294" s="25" t="s">
        <v>969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1934</f>
        <v>1934</v>
      </c>
      <c r="L294" s="32" t="s">
        <v>911</v>
      </c>
      <c r="M294" s="31">
        <f>1982.5</f>
        <v>1982.5</v>
      </c>
      <c r="N294" s="32" t="s">
        <v>934</v>
      </c>
      <c r="O294" s="31">
        <f>1872</f>
        <v>1872</v>
      </c>
      <c r="P294" s="32" t="s">
        <v>813</v>
      </c>
      <c r="Q294" s="31">
        <f>1980</f>
        <v>1980</v>
      </c>
      <c r="R294" s="32" t="s">
        <v>934</v>
      </c>
      <c r="S294" s="33">
        <f>1927.62</f>
        <v>1927.62</v>
      </c>
      <c r="T294" s="30">
        <f>2620</f>
        <v>2620</v>
      </c>
      <c r="U294" s="30" t="str">
        <f>"－"</f>
        <v>－</v>
      </c>
      <c r="V294" s="30">
        <f>5052070</f>
        <v>5052070</v>
      </c>
      <c r="W294" s="30" t="str">
        <f>"－"</f>
        <v>－</v>
      </c>
      <c r="X294" s="34">
        <f>13</f>
        <v>13</v>
      </c>
    </row>
    <row r="295" spans="1:24" x14ac:dyDescent="0.15">
      <c r="A295" s="25" t="s">
        <v>971</v>
      </c>
      <c r="B295" s="25" t="s">
        <v>972</v>
      </c>
      <c r="C295" s="25" t="s">
        <v>973</v>
      </c>
      <c r="D295" s="25" t="s">
        <v>974</v>
      </c>
      <c r="E295" s="26" t="s">
        <v>808</v>
      </c>
      <c r="F295" s="27" t="s">
        <v>809</v>
      </c>
      <c r="G295" s="28" t="s">
        <v>975</v>
      </c>
      <c r="H295" s="29"/>
      <c r="I295" s="29" t="s">
        <v>46</v>
      </c>
      <c r="J295" s="30">
        <v>10</v>
      </c>
      <c r="K295" s="31">
        <f>200</f>
        <v>200</v>
      </c>
      <c r="L295" s="32" t="s">
        <v>815</v>
      </c>
      <c r="M295" s="31">
        <f>204</f>
        <v>204</v>
      </c>
      <c r="N295" s="32" t="s">
        <v>266</v>
      </c>
      <c r="O295" s="31">
        <f>200</f>
        <v>200</v>
      </c>
      <c r="P295" s="32" t="s">
        <v>815</v>
      </c>
      <c r="Q295" s="31">
        <f>202.9</f>
        <v>202.9</v>
      </c>
      <c r="R295" s="32" t="s">
        <v>818</v>
      </c>
      <c r="S295" s="33">
        <f>202.58</f>
        <v>202.58</v>
      </c>
      <c r="T295" s="30">
        <f>3083960</f>
        <v>3083960</v>
      </c>
      <c r="U295" s="30">
        <f>3067610</f>
        <v>3067610</v>
      </c>
      <c r="V295" s="30">
        <f>620002823</f>
        <v>620002823</v>
      </c>
      <c r="W295" s="30">
        <f>616687859</f>
        <v>616687859</v>
      </c>
      <c r="X295" s="34">
        <f>5</f>
        <v>5</v>
      </c>
    </row>
    <row r="296" spans="1:24" x14ac:dyDescent="0.15">
      <c r="A296" s="25" t="s">
        <v>971</v>
      </c>
      <c r="B296" s="25" t="s">
        <v>976</v>
      </c>
      <c r="C296" s="25" t="s">
        <v>977</v>
      </c>
      <c r="D296" s="25" t="s">
        <v>978</v>
      </c>
      <c r="E296" s="26" t="s">
        <v>808</v>
      </c>
      <c r="F296" s="27" t="s">
        <v>809</v>
      </c>
      <c r="G296" s="28" t="s">
        <v>975</v>
      </c>
      <c r="H296" s="29"/>
      <c r="I296" s="29" t="s">
        <v>46</v>
      </c>
      <c r="J296" s="30">
        <v>10</v>
      </c>
      <c r="K296" s="31">
        <f>818.9</f>
        <v>818.9</v>
      </c>
      <c r="L296" s="32" t="s">
        <v>815</v>
      </c>
      <c r="M296" s="31">
        <f>898</f>
        <v>898</v>
      </c>
      <c r="N296" s="32" t="s">
        <v>812</v>
      </c>
      <c r="O296" s="31">
        <f>798</f>
        <v>798</v>
      </c>
      <c r="P296" s="32" t="s">
        <v>818</v>
      </c>
      <c r="Q296" s="31">
        <f>798</f>
        <v>798</v>
      </c>
      <c r="R296" s="32" t="s">
        <v>818</v>
      </c>
      <c r="S296" s="33">
        <f>806.94</f>
        <v>806.94</v>
      </c>
      <c r="T296" s="30">
        <f>3771230</f>
        <v>3771230</v>
      </c>
      <c r="U296" s="30">
        <f>3769200</f>
        <v>3769200</v>
      </c>
      <c r="V296" s="30">
        <f>3029274115</f>
        <v>3029274115</v>
      </c>
      <c r="W296" s="30">
        <f>3027585731</f>
        <v>3027585731</v>
      </c>
      <c r="X296" s="34">
        <f>5</f>
        <v>5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F694-F059-406F-B925-B3AEC1108B37}">
  <sheetPr>
    <pageSetUpPr fitToPage="1"/>
  </sheetPr>
  <dimension ref="A1:X294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8.125" defaultRowHeight="18.75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966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2058</f>
        <v>2058</v>
      </c>
      <c r="L7" s="32" t="s">
        <v>904</v>
      </c>
      <c r="M7" s="31">
        <f>2099.5</f>
        <v>2099.5</v>
      </c>
      <c r="N7" s="32" t="s">
        <v>810</v>
      </c>
      <c r="O7" s="31">
        <f>1962.5</f>
        <v>1962.5</v>
      </c>
      <c r="P7" s="32" t="s">
        <v>266</v>
      </c>
      <c r="Q7" s="31">
        <f>2022</f>
        <v>2022</v>
      </c>
      <c r="R7" s="32" t="s">
        <v>94</v>
      </c>
      <c r="S7" s="33">
        <f>2026.5</f>
        <v>2026.5</v>
      </c>
      <c r="T7" s="30">
        <f>3865590</f>
        <v>3865590</v>
      </c>
      <c r="U7" s="30">
        <f>137750</f>
        <v>137750</v>
      </c>
      <c r="V7" s="30">
        <f>7801882810</f>
        <v>7801882810</v>
      </c>
      <c r="W7" s="30">
        <f>276478850</f>
        <v>276478850</v>
      </c>
      <c r="X7" s="34">
        <f>20</f>
        <v>20</v>
      </c>
    </row>
    <row r="8" spans="1:24" x14ac:dyDescent="0.15">
      <c r="A8" s="25" t="s">
        <v>966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2036</f>
        <v>2036</v>
      </c>
      <c r="L8" s="32" t="s">
        <v>904</v>
      </c>
      <c r="M8" s="31">
        <f>2076</f>
        <v>2076</v>
      </c>
      <c r="N8" s="32" t="s">
        <v>810</v>
      </c>
      <c r="O8" s="31">
        <f>1942</f>
        <v>1942</v>
      </c>
      <c r="P8" s="32" t="s">
        <v>266</v>
      </c>
      <c r="Q8" s="31">
        <f>2000</f>
        <v>2000</v>
      </c>
      <c r="R8" s="32" t="s">
        <v>94</v>
      </c>
      <c r="S8" s="33">
        <f>2003.68</f>
        <v>2003.68</v>
      </c>
      <c r="T8" s="30">
        <f>47685580</f>
        <v>47685580</v>
      </c>
      <c r="U8" s="30">
        <f>15884920</f>
        <v>15884920</v>
      </c>
      <c r="V8" s="30">
        <f>95993664276</f>
        <v>95993664276</v>
      </c>
      <c r="W8" s="30">
        <f>32344627791</f>
        <v>32344627791</v>
      </c>
      <c r="X8" s="34">
        <f>20</f>
        <v>20</v>
      </c>
    </row>
    <row r="9" spans="1:24" x14ac:dyDescent="0.15">
      <c r="A9" s="25" t="s">
        <v>966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2013</f>
        <v>2013</v>
      </c>
      <c r="L9" s="32" t="s">
        <v>904</v>
      </c>
      <c r="M9" s="31">
        <f>2051.5</f>
        <v>2051.5</v>
      </c>
      <c r="N9" s="32" t="s">
        <v>810</v>
      </c>
      <c r="O9" s="31">
        <f>1919.5</f>
        <v>1919.5</v>
      </c>
      <c r="P9" s="32" t="s">
        <v>266</v>
      </c>
      <c r="Q9" s="31">
        <f>1977.5</f>
        <v>1977.5</v>
      </c>
      <c r="R9" s="32" t="s">
        <v>94</v>
      </c>
      <c r="S9" s="33">
        <f>1981.83</f>
        <v>1981.83</v>
      </c>
      <c r="T9" s="30">
        <f>8322400</f>
        <v>8322400</v>
      </c>
      <c r="U9" s="30">
        <f>4002800</f>
        <v>4002800</v>
      </c>
      <c r="V9" s="30">
        <f>16667688076</f>
        <v>16667688076</v>
      </c>
      <c r="W9" s="30">
        <f>8099260326</f>
        <v>8099260326</v>
      </c>
      <c r="X9" s="34">
        <f>20</f>
        <v>20</v>
      </c>
    </row>
    <row r="10" spans="1:24" x14ac:dyDescent="0.15">
      <c r="A10" s="25" t="s">
        <v>966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42130</f>
        <v>42130</v>
      </c>
      <c r="L10" s="32" t="s">
        <v>904</v>
      </c>
      <c r="M10" s="31">
        <f>43510</f>
        <v>43510</v>
      </c>
      <c r="N10" s="32" t="s">
        <v>915</v>
      </c>
      <c r="O10" s="31">
        <f>38800</f>
        <v>38800</v>
      </c>
      <c r="P10" s="32" t="s">
        <v>812</v>
      </c>
      <c r="Q10" s="31">
        <f>40500</f>
        <v>40500</v>
      </c>
      <c r="R10" s="32" t="s">
        <v>94</v>
      </c>
      <c r="S10" s="33">
        <f>42113</f>
        <v>42113</v>
      </c>
      <c r="T10" s="30">
        <f>4082</f>
        <v>4082</v>
      </c>
      <c r="U10" s="30" t="str">
        <f>"－"</f>
        <v>－</v>
      </c>
      <c r="V10" s="30">
        <f>169680280</f>
        <v>169680280</v>
      </c>
      <c r="W10" s="30" t="str">
        <f>"－"</f>
        <v>－</v>
      </c>
      <c r="X10" s="34">
        <f>20</f>
        <v>20</v>
      </c>
    </row>
    <row r="11" spans="1:24" x14ac:dyDescent="0.15">
      <c r="A11" s="25" t="s">
        <v>966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962.9</f>
        <v>962.9</v>
      </c>
      <c r="L11" s="32" t="s">
        <v>904</v>
      </c>
      <c r="M11" s="31">
        <f>980.1</f>
        <v>980.1</v>
      </c>
      <c r="N11" s="32" t="s">
        <v>810</v>
      </c>
      <c r="O11" s="31">
        <f>902.9</f>
        <v>902.9</v>
      </c>
      <c r="P11" s="32" t="s">
        <v>266</v>
      </c>
      <c r="Q11" s="31">
        <f>933.9</f>
        <v>933.9</v>
      </c>
      <c r="R11" s="32" t="s">
        <v>94</v>
      </c>
      <c r="S11" s="33">
        <f>941.04</f>
        <v>941.04</v>
      </c>
      <c r="T11" s="30">
        <f>67380</f>
        <v>67380</v>
      </c>
      <c r="U11" s="30">
        <f>40</f>
        <v>40</v>
      </c>
      <c r="V11" s="30">
        <f>63186320</f>
        <v>63186320</v>
      </c>
      <c r="W11" s="30">
        <f>39302</f>
        <v>39302</v>
      </c>
      <c r="X11" s="34">
        <f>20</f>
        <v>20</v>
      </c>
    </row>
    <row r="12" spans="1:24" x14ac:dyDescent="0.15">
      <c r="A12" s="25" t="s">
        <v>966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</v>
      </c>
      <c r="K12" s="31">
        <f>19740</f>
        <v>19740</v>
      </c>
      <c r="L12" s="32" t="s">
        <v>904</v>
      </c>
      <c r="M12" s="31">
        <f>19945</f>
        <v>19945</v>
      </c>
      <c r="N12" s="32" t="s">
        <v>810</v>
      </c>
      <c r="O12" s="31">
        <f>18405</f>
        <v>18405</v>
      </c>
      <c r="P12" s="32" t="s">
        <v>266</v>
      </c>
      <c r="Q12" s="31">
        <f>18985</f>
        <v>18985</v>
      </c>
      <c r="R12" s="32" t="s">
        <v>94</v>
      </c>
      <c r="S12" s="33">
        <f>19157.75</f>
        <v>19157.75</v>
      </c>
      <c r="T12" s="30">
        <f>962</f>
        <v>962</v>
      </c>
      <c r="U12" s="30">
        <f>1</f>
        <v>1</v>
      </c>
      <c r="V12" s="30">
        <f>18336780</f>
        <v>18336780</v>
      </c>
      <c r="W12" s="30">
        <f>19855</f>
        <v>19855</v>
      </c>
      <c r="X12" s="34">
        <f>20</f>
        <v>20</v>
      </c>
    </row>
    <row r="13" spans="1:24" x14ac:dyDescent="0.15">
      <c r="A13" s="25" t="s">
        <v>966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</v>
      </c>
      <c r="K13" s="31">
        <f>3949</f>
        <v>3949</v>
      </c>
      <c r="L13" s="32" t="s">
        <v>811</v>
      </c>
      <c r="M13" s="31">
        <f>3949</f>
        <v>3949</v>
      </c>
      <c r="N13" s="32" t="s">
        <v>811</v>
      </c>
      <c r="O13" s="31">
        <f>3641</f>
        <v>3641</v>
      </c>
      <c r="P13" s="32" t="s">
        <v>816</v>
      </c>
      <c r="Q13" s="31">
        <f>3872</f>
        <v>3872</v>
      </c>
      <c r="R13" s="32" t="s">
        <v>266</v>
      </c>
      <c r="S13" s="33">
        <f>3761.45</f>
        <v>3761.45</v>
      </c>
      <c r="T13" s="30">
        <f>650</f>
        <v>650</v>
      </c>
      <c r="U13" s="30" t="str">
        <f>"－"</f>
        <v>－</v>
      </c>
      <c r="V13" s="30">
        <f>2492050</f>
        <v>2492050</v>
      </c>
      <c r="W13" s="30" t="str">
        <f>"－"</f>
        <v>－</v>
      </c>
      <c r="X13" s="34">
        <f>11</f>
        <v>11</v>
      </c>
    </row>
    <row r="14" spans="1:24" x14ac:dyDescent="0.15">
      <c r="A14" s="25" t="s">
        <v>966</v>
      </c>
      <c r="B14" s="25" t="s">
        <v>67</v>
      </c>
      <c r="C14" s="25" t="s">
        <v>68</v>
      </c>
      <c r="D14" s="25" t="s">
        <v>69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364.7</f>
        <v>364.7</v>
      </c>
      <c r="L14" s="32" t="s">
        <v>811</v>
      </c>
      <c r="M14" s="31">
        <f>364.7</f>
        <v>364.7</v>
      </c>
      <c r="N14" s="32" t="s">
        <v>811</v>
      </c>
      <c r="O14" s="31">
        <f>336.1</f>
        <v>336.1</v>
      </c>
      <c r="P14" s="32" t="s">
        <v>266</v>
      </c>
      <c r="Q14" s="31">
        <f>336.1</f>
        <v>336.1</v>
      </c>
      <c r="R14" s="32" t="s">
        <v>266</v>
      </c>
      <c r="S14" s="33">
        <f>352.37</f>
        <v>352.37</v>
      </c>
      <c r="T14" s="30">
        <f>38000</f>
        <v>38000</v>
      </c>
      <c r="U14" s="30">
        <f>2000</f>
        <v>2000</v>
      </c>
      <c r="V14" s="30">
        <f>13300400</f>
        <v>13300400</v>
      </c>
      <c r="W14" s="30">
        <f>708000</f>
        <v>708000</v>
      </c>
      <c r="X14" s="34">
        <f>10</f>
        <v>10</v>
      </c>
    </row>
    <row r="15" spans="1:24" x14ac:dyDescent="0.15">
      <c r="A15" s="25" t="s">
        <v>966</v>
      </c>
      <c r="B15" s="25" t="s">
        <v>71</v>
      </c>
      <c r="C15" s="25" t="s">
        <v>72</v>
      </c>
      <c r="D15" s="25" t="s">
        <v>73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28675</f>
        <v>28675</v>
      </c>
      <c r="L15" s="32" t="s">
        <v>904</v>
      </c>
      <c r="M15" s="31">
        <f>29070</f>
        <v>29070</v>
      </c>
      <c r="N15" s="32" t="s">
        <v>810</v>
      </c>
      <c r="O15" s="31">
        <f>27085</f>
        <v>27085</v>
      </c>
      <c r="P15" s="32" t="s">
        <v>266</v>
      </c>
      <c r="Q15" s="31">
        <f>27895</f>
        <v>27895</v>
      </c>
      <c r="R15" s="32" t="s">
        <v>94</v>
      </c>
      <c r="S15" s="33">
        <f>28120.25</f>
        <v>28120.25</v>
      </c>
      <c r="T15" s="30">
        <f>1040028</f>
        <v>1040028</v>
      </c>
      <c r="U15" s="30">
        <f>24579</f>
        <v>24579</v>
      </c>
      <c r="V15" s="30">
        <f>29125901651</f>
        <v>29125901651</v>
      </c>
      <c r="W15" s="30">
        <f>689305091</f>
        <v>689305091</v>
      </c>
      <c r="X15" s="34">
        <f>20</f>
        <v>20</v>
      </c>
    </row>
    <row r="16" spans="1:24" x14ac:dyDescent="0.15">
      <c r="A16" s="25" t="s">
        <v>966</v>
      </c>
      <c r="B16" s="25" t="s">
        <v>74</v>
      </c>
      <c r="C16" s="25" t="s">
        <v>75</v>
      </c>
      <c r="D16" s="25" t="s">
        <v>76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28740</f>
        <v>28740</v>
      </c>
      <c r="L16" s="32" t="s">
        <v>904</v>
      </c>
      <c r="M16" s="31">
        <f>29120</f>
        <v>29120</v>
      </c>
      <c r="N16" s="32" t="s">
        <v>810</v>
      </c>
      <c r="O16" s="31">
        <f>27145</f>
        <v>27145</v>
      </c>
      <c r="P16" s="32" t="s">
        <v>266</v>
      </c>
      <c r="Q16" s="31">
        <f>27970</f>
        <v>27970</v>
      </c>
      <c r="R16" s="32" t="s">
        <v>94</v>
      </c>
      <c r="S16" s="33">
        <f>28169.5</f>
        <v>28169.5</v>
      </c>
      <c r="T16" s="30">
        <f>5650043</f>
        <v>5650043</v>
      </c>
      <c r="U16" s="30">
        <f>318008</f>
        <v>318008</v>
      </c>
      <c r="V16" s="30">
        <f>158570886259</f>
        <v>158570886259</v>
      </c>
      <c r="W16" s="30">
        <f>8977973224</f>
        <v>8977973224</v>
      </c>
      <c r="X16" s="34">
        <f>20</f>
        <v>20</v>
      </c>
    </row>
    <row r="17" spans="1:24" x14ac:dyDescent="0.15">
      <c r="A17" s="25" t="s">
        <v>966</v>
      </c>
      <c r="B17" s="25" t="s">
        <v>77</v>
      </c>
      <c r="C17" s="25" t="s">
        <v>78</v>
      </c>
      <c r="D17" s="25" t="s">
        <v>79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7732</f>
        <v>7732</v>
      </c>
      <c r="L17" s="32" t="s">
        <v>904</v>
      </c>
      <c r="M17" s="31">
        <f>7963</f>
        <v>7963</v>
      </c>
      <c r="N17" s="32" t="s">
        <v>912</v>
      </c>
      <c r="O17" s="31">
        <f>7130</f>
        <v>7130</v>
      </c>
      <c r="P17" s="32" t="s">
        <v>266</v>
      </c>
      <c r="Q17" s="31">
        <f>7450</f>
        <v>7450</v>
      </c>
      <c r="R17" s="32" t="s">
        <v>94</v>
      </c>
      <c r="S17" s="33">
        <f>7755.2</f>
        <v>7755.2</v>
      </c>
      <c r="T17" s="30">
        <f>5930</f>
        <v>5930</v>
      </c>
      <c r="U17" s="30">
        <f>80</f>
        <v>80</v>
      </c>
      <c r="V17" s="30">
        <f>45390910</f>
        <v>45390910</v>
      </c>
      <c r="W17" s="30">
        <f>596000</f>
        <v>596000</v>
      </c>
      <c r="X17" s="34">
        <f>20</f>
        <v>20</v>
      </c>
    </row>
    <row r="18" spans="1:24" x14ac:dyDescent="0.15">
      <c r="A18" s="25" t="s">
        <v>966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 t="s">
        <v>333</v>
      </c>
      <c r="I18" s="29" t="s">
        <v>46</v>
      </c>
      <c r="J18" s="30">
        <v>100</v>
      </c>
      <c r="K18" s="31">
        <f>551.6</f>
        <v>551.6</v>
      </c>
      <c r="L18" s="32" t="s">
        <v>904</v>
      </c>
      <c r="M18" s="31">
        <f>629</f>
        <v>629</v>
      </c>
      <c r="N18" s="32" t="s">
        <v>695</v>
      </c>
      <c r="O18" s="31">
        <f>532</f>
        <v>532</v>
      </c>
      <c r="P18" s="32" t="s">
        <v>70</v>
      </c>
      <c r="Q18" s="31">
        <f>563.4</f>
        <v>563.4</v>
      </c>
      <c r="R18" s="32" t="s">
        <v>94</v>
      </c>
      <c r="S18" s="33">
        <f>580.7</f>
        <v>580.70000000000005</v>
      </c>
      <c r="T18" s="30">
        <f>272800</f>
        <v>272800</v>
      </c>
      <c r="U18" s="30" t="str">
        <f>"－"</f>
        <v>－</v>
      </c>
      <c r="V18" s="30">
        <f>159114990</f>
        <v>159114990</v>
      </c>
      <c r="W18" s="30" t="str">
        <f>"－"</f>
        <v>－</v>
      </c>
      <c r="X18" s="34">
        <f>20</f>
        <v>20</v>
      </c>
    </row>
    <row r="19" spans="1:24" x14ac:dyDescent="0.15">
      <c r="A19" s="25" t="s">
        <v>966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 t="str">
        <f>"－"</f>
        <v>－</v>
      </c>
      <c r="L19" s="32"/>
      <c r="M19" s="31" t="str">
        <f>"－"</f>
        <v>－</v>
      </c>
      <c r="N19" s="32"/>
      <c r="O19" s="31" t="str">
        <f>"－"</f>
        <v>－</v>
      </c>
      <c r="P19" s="32"/>
      <c r="Q19" s="31" t="str">
        <f>"－"</f>
        <v>－</v>
      </c>
      <c r="R19" s="32"/>
      <c r="S19" s="33" t="str">
        <f>"－"</f>
        <v>－</v>
      </c>
      <c r="T19" s="30" t="str">
        <f>"－"</f>
        <v>－</v>
      </c>
      <c r="U19" s="30" t="str">
        <f>"－"</f>
        <v>－</v>
      </c>
      <c r="V19" s="30" t="str">
        <f>"－"</f>
        <v>－</v>
      </c>
      <c r="W19" s="30" t="str">
        <f>"－"</f>
        <v>－</v>
      </c>
      <c r="X19" s="34" t="str">
        <f>"－"</f>
        <v>－</v>
      </c>
    </row>
    <row r="20" spans="1:24" x14ac:dyDescent="0.15">
      <c r="A20" s="25" t="s">
        <v>966</v>
      </c>
      <c r="B20" s="25" t="s">
        <v>88</v>
      </c>
      <c r="C20" s="25" t="s">
        <v>89</v>
      </c>
      <c r="D20" s="25" t="s">
        <v>90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100</v>
      </c>
      <c r="K20" s="31">
        <f>218</f>
        <v>218</v>
      </c>
      <c r="L20" s="32" t="s">
        <v>904</v>
      </c>
      <c r="M20" s="31">
        <f>230.4</f>
        <v>230.4</v>
      </c>
      <c r="N20" s="32" t="s">
        <v>816</v>
      </c>
      <c r="O20" s="31">
        <f>197</f>
        <v>197</v>
      </c>
      <c r="P20" s="32" t="s">
        <v>94</v>
      </c>
      <c r="Q20" s="31">
        <f>208.3</f>
        <v>208.3</v>
      </c>
      <c r="R20" s="32" t="s">
        <v>94</v>
      </c>
      <c r="S20" s="33">
        <f>220.12</f>
        <v>220.12</v>
      </c>
      <c r="T20" s="30">
        <f>875700</f>
        <v>875700</v>
      </c>
      <c r="U20" s="30">
        <f>1000</f>
        <v>1000</v>
      </c>
      <c r="V20" s="30">
        <f>193253430</f>
        <v>193253430</v>
      </c>
      <c r="W20" s="30">
        <f>221780</f>
        <v>221780</v>
      </c>
      <c r="X20" s="34">
        <f>20</f>
        <v>20</v>
      </c>
    </row>
    <row r="21" spans="1:24" x14ac:dyDescent="0.15">
      <c r="A21" s="25" t="s">
        <v>966</v>
      </c>
      <c r="B21" s="25" t="s">
        <v>91</v>
      </c>
      <c r="C21" s="25" t="s">
        <v>92</v>
      </c>
      <c r="D21" s="25" t="s">
        <v>93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22000</f>
        <v>22000</v>
      </c>
      <c r="L21" s="32" t="s">
        <v>904</v>
      </c>
      <c r="M21" s="31">
        <f>23630</f>
        <v>23630</v>
      </c>
      <c r="N21" s="32" t="s">
        <v>816</v>
      </c>
      <c r="O21" s="31">
        <f>21920</f>
        <v>21920</v>
      </c>
      <c r="P21" s="32" t="s">
        <v>811</v>
      </c>
      <c r="Q21" s="31">
        <f>22740</f>
        <v>22740</v>
      </c>
      <c r="R21" s="32" t="s">
        <v>94</v>
      </c>
      <c r="S21" s="33">
        <f>22821</f>
        <v>22821</v>
      </c>
      <c r="T21" s="30">
        <f>294586</f>
        <v>294586</v>
      </c>
      <c r="U21" s="30">
        <f>12700</f>
        <v>12700</v>
      </c>
      <c r="V21" s="30">
        <f>6727204870</f>
        <v>6727204870</v>
      </c>
      <c r="W21" s="30">
        <f>297675300</f>
        <v>297675300</v>
      </c>
      <c r="X21" s="34">
        <f>20</f>
        <v>20</v>
      </c>
    </row>
    <row r="22" spans="1:24" x14ac:dyDescent="0.15">
      <c r="A22" s="25" t="s">
        <v>966</v>
      </c>
      <c r="B22" s="25" t="s">
        <v>95</v>
      </c>
      <c r="C22" s="25" t="s">
        <v>96</v>
      </c>
      <c r="D22" s="25" t="s">
        <v>97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5946</f>
        <v>5946</v>
      </c>
      <c r="L22" s="32" t="s">
        <v>904</v>
      </c>
      <c r="M22" s="31">
        <f>6387</f>
        <v>6387</v>
      </c>
      <c r="N22" s="32" t="s">
        <v>816</v>
      </c>
      <c r="O22" s="31">
        <f>5920</f>
        <v>5920</v>
      </c>
      <c r="P22" s="32" t="s">
        <v>811</v>
      </c>
      <c r="Q22" s="31">
        <f>6120</f>
        <v>6120</v>
      </c>
      <c r="R22" s="32" t="s">
        <v>94</v>
      </c>
      <c r="S22" s="33">
        <f>6153.1</f>
        <v>6153.1</v>
      </c>
      <c r="T22" s="30">
        <f>435250</f>
        <v>435250</v>
      </c>
      <c r="U22" s="30">
        <f>4640</f>
        <v>4640</v>
      </c>
      <c r="V22" s="30">
        <f>2691483960</f>
        <v>2691483960</v>
      </c>
      <c r="W22" s="30">
        <f>29604340</f>
        <v>29604340</v>
      </c>
      <c r="X22" s="34">
        <f>20</f>
        <v>20</v>
      </c>
    </row>
    <row r="23" spans="1:24" x14ac:dyDescent="0.15">
      <c r="A23" s="25" t="s">
        <v>966</v>
      </c>
      <c r="B23" s="25" t="s">
        <v>98</v>
      </c>
      <c r="C23" s="25" t="s">
        <v>99</v>
      </c>
      <c r="D23" s="25" t="s">
        <v>100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</v>
      </c>
      <c r="K23" s="31">
        <f>28670</f>
        <v>28670</v>
      </c>
      <c r="L23" s="32" t="s">
        <v>904</v>
      </c>
      <c r="M23" s="31">
        <f>29050</f>
        <v>29050</v>
      </c>
      <c r="N23" s="32" t="s">
        <v>810</v>
      </c>
      <c r="O23" s="31">
        <f>27065</f>
        <v>27065</v>
      </c>
      <c r="P23" s="32" t="s">
        <v>266</v>
      </c>
      <c r="Q23" s="31">
        <f>27895</f>
        <v>27895</v>
      </c>
      <c r="R23" s="32" t="s">
        <v>94</v>
      </c>
      <c r="S23" s="33">
        <f>28091.5</f>
        <v>28091.5</v>
      </c>
      <c r="T23" s="30">
        <f>654603</f>
        <v>654603</v>
      </c>
      <c r="U23" s="30">
        <f>79178</f>
        <v>79178</v>
      </c>
      <c r="V23" s="30">
        <f>18306995137</f>
        <v>18306995137</v>
      </c>
      <c r="W23" s="30">
        <f>2207952607</f>
        <v>2207952607</v>
      </c>
      <c r="X23" s="34">
        <f>20</f>
        <v>20</v>
      </c>
    </row>
    <row r="24" spans="1:24" x14ac:dyDescent="0.15">
      <c r="A24" s="25" t="s">
        <v>966</v>
      </c>
      <c r="B24" s="25" t="s">
        <v>101</v>
      </c>
      <c r="C24" s="25" t="s">
        <v>102</v>
      </c>
      <c r="D24" s="25" t="s">
        <v>103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28765</f>
        <v>28765</v>
      </c>
      <c r="L24" s="32" t="s">
        <v>904</v>
      </c>
      <c r="M24" s="31">
        <f>29170</f>
        <v>29170</v>
      </c>
      <c r="N24" s="32" t="s">
        <v>810</v>
      </c>
      <c r="O24" s="31">
        <f>27170</f>
        <v>27170</v>
      </c>
      <c r="P24" s="32" t="s">
        <v>266</v>
      </c>
      <c r="Q24" s="31">
        <f>28005</f>
        <v>28005</v>
      </c>
      <c r="R24" s="32" t="s">
        <v>94</v>
      </c>
      <c r="S24" s="33">
        <f>28209.5</f>
        <v>28209.5</v>
      </c>
      <c r="T24" s="30">
        <f>873360</f>
        <v>873360</v>
      </c>
      <c r="U24" s="30">
        <f>66550</f>
        <v>66550</v>
      </c>
      <c r="V24" s="30">
        <f>24546094034</f>
        <v>24546094034</v>
      </c>
      <c r="W24" s="30">
        <f>1855946784</f>
        <v>1855946784</v>
      </c>
      <c r="X24" s="34">
        <f>20</f>
        <v>20</v>
      </c>
    </row>
    <row r="25" spans="1:24" x14ac:dyDescent="0.15">
      <c r="A25" s="25" t="s">
        <v>966</v>
      </c>
      <c r="B25" s="25" t="s">
        <v>104</v>
      </c>
      <c r="C25" s="25" t="s">
        <v>105</v>
      </c>
      <c r="D25" s="25" t="s">
        <v>106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2158</f>
        <v>2158</v>
      </c>
      <c r="L25" s="32" t="s">
        <v>904</v>
      </c>
      <c r="M25" s="31">
        <f>2208</f>
        <v>2208</v>
      </c>
      <c r="N25" s="32" t="s">
        <v>811</v>
      </c>
      <c r="O25" s="31">
        <f>2112</f>
        <v>2112</v>
      </c>
      <c r="P25" s="32" t="s">
        <v>87</v>
      </c>
      <c r="Q25" s="31">
        <f>2141</f>
        <v>2141</v>
      </c>
      <c r="R25" s="32" t="s">
        <v>94</v>
      </c>
      <c r="S25" s="33">
        <f>2151.4</f>
        <v>2151.4</v>
      </c>
      <c r="T25" s="30">
        <f>14138550</f>
        <v>14138550</v>
      </c>
      <c r="U25" s="30">
        <f>3418140</f>
        <v>3418140</v>
      </c>
      <c r="V25" s="30">
        <f>30355977769</f>
        <v>30355977769</v>
      </c>
      <c r="W25" s="30">
        <f>7272933614</f>
        <v>7272933614</v>
      </c>
      <c r="X25" s="34">
        <f>20</f>
        <v>20</v>
      </c>
    </row>
    <row r="26" spans="1:24" x14ac:dyDescent="0.15">
      <c r="A26" s="25" t="s">
        <v>966</v>
      </c>
      <c r="B26" s="25" t="s">
        <v>107</v>
      </c>
      <c r="C26" s="25" t="s">
        <v>108</v>
      </c>
      <c r="D26" s="25" t="s">
        <v>109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100</v>
      </c>
      <c r="K26" s="31">
        <f>2026</f>
        <v>2026</v>
      </c>
      <c r="L26" s="32" t="s">
        <v>904</v>
      </c>
      <c r="M26" s="31">
        <f>2076</f>
        <v>2076</v>
      </c>
      <c r="N26" s="32" t="s">
        <v>811</v>
      </c>
      <c r="O26" s="31">
        <f>1984.5</f>
        <v>1984.5</v>
      </c>
      <c r="P26" s="32" t="s">
        <v>87</v>
      </c>
      <c r="Q26" s="31">
        <f>2008.5</f>
        <v>2008.5</v>
      </c>
      <c r="R26" s="32" t="s">
        <v>94</v>
      </c>
      <c r="S26" s="33">
        <f>2014.8</f>
        <v>2014.8</v>
      </c>
      <c r="T26" s="30">
        <f>2205700</f>
        <v>2205700</v>
      </c>
      <c r="U26" s="30">
        <f>121100</f>
        <v>121100</v>
      </c>
      <c r="V26" s="30">
        <f>4460973154</f>
        <v>4460973154</v>
      </c>
      <c r="W26" s="30">
        <f>243112254</f>
        <v>243112254</v>
      </c>
      <c r="X26" s="34">
        <f>20</f>
        <v>20</v>
      </c>
    </row>
    <row r="27" spans="1:24" x14ac:dyDescent="0.15">
      <c r="A27" s="25" t="s">
        <v>966</v>
      </c>
      <c r="B27" s="25" t="s">
        <v>110</v>
      </c>
      <c r="C27" s="25" t="s">
        <v>111</v>
      </c>
      <c r="D27" s="25" t="s">
        <v>112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28650</f>
        <v>28650</v>
      </c>
      <c r="L27" s="32" t="s">
        <v>904</v>
      </c>
      <c r="M27" s="31">
        <f>29050</f>
        <v>29050</v>
      </c>
      <c r="N27" s="32" t="s">
        <v>810</v>
      </c>
      <c r="O27" s="31">
        <f>27070</f>
        <v>27070</v>
      </c>
      <c r="P27" s="32" t="s">
        <v>266</v>
      </c>
      <c r="Q27" s="31">
        <f>27880</f>
        <v>27880</v>
      </c>
      <c r="R27" s="32" t="s">
        <v>94</v>
      </c>
      <c r="S27" s="33">
        <f>28095.75</f>
        <v>28095.75</v>
      </c>
      <c r="T27" s="30">
        <f>291358</f>
        <v>291358</v>
      </c>
      <c r="U27" s="30">
        <f>7112</f>
        <v>7112</v>
      </c>
      <c r="V27" s="30">
        <f>8171749427</f>
        <v>8171749427</v>
      </c>
      <c r="W27" s="30">
        <f>196080047</f>
        <v>196080047</v>
      </c>
      <c r="X27" s="34">
        <f>20</f>
        <v>20</v>
      </c>
    </row>
    <row r="28" spans="1:24" x14ac:dyDescent="0.15">
      <c r="A28" s="25" t="s">
        <v>966</v>
      </c>
      <c r="B28" s="25" t="s">
        <v>113</v>
      </c>
      <c r="C28" s="25" t="s">
        <v>114</v>
      </c>
      <c r="D28" s="25" t="s">
        <v>115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2016.5</f>
        <v>2016.5</v>
      </c>
      <c r="L28" s="32" t="s">
        <v>904</v>
      </c>
      <c r="M28" s="31">
        <f>2055</f>
        <v>2055</v>
      </c>
      <c r="N28" s="32" t="s">
        <v>810</v>
      </c>
      <c r="O28" s="31">
        <f>1923</f>
        <v>1923</v>
      </c>
      <c r="P28" s="32" t="s">
        <v>266</v>
      </c>
      <c r="Q28" s="31">
        <f>1981.5</f>
        <v>1981.5</v>
      </c>
      <c r="R28" s="32" t="s">
        <v>94</v>
      </c>
      <c r="S28" s="33">
        <f>1985.13</f>
        <v>1985.13</v>
      </c>
      <c r="T28" s="30">
        <f>1912170</f>
        <v>1912170</v>
      </c>
      <c r="U28" s="30">
        <f>200030</f>
        <v>200030</v>
      </c>
      <c r="V28" s="30">
        <f>3800088400</f>
        <v>3800088400</v>
      </c>
      <c r="W28" s="30">
        <f>401826755</f>
        <v>401826755</v>
      </c>
      <c r="X28" s="34">
        <f>20</f>
        <v>20</v>
      </c>
    </row>
    <row r="29" spans="1:24" x14ac:dyDescent="0.15">
      <c r="A29" s="25" t="s">
        <v>966</v>
      </c>
      <c r="B29" s="25" t="s">
        <v>116</v>
      </c>
      <c r="C29" s="25" t="s">
        <v>117</v>
      </c>
      <c r="D29" s="25" t="s">
        <v>118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14030</f>
        <v>14030</v>
      </c>
      <c r="L29" s="32" t="s">
        <v>904</v>
      </c>
      <c r="M29" s="31">
        <f>14590</f>
        <v>14590</v>
      </c>
      <c r="N29" s="32" t="s">
        <v>87</v>
      </c>
      <c r="O29" s="31">
        <f>14030</f>
        <v>14030</v>
      </c>
      <c r="P29" s="32" t="s">
        <v>904</v>
      </c>
      <c r="Q29" s="31">
        <f>14315</f>
        <v>14315</v>
      </c>
      <c r="R29" s="32" t="s">
        <v>94</v>
      </c>
      <c r="S29" s="33">
        <f>14267.25</f>
        <v>14267.25</v>
      </c>
      <c r="T29" s="30">
        <f>992</f>
        <v>992</v>
      </c>
      <c r="U29" s="30" t="str">
        <f>"－"</f>
        <v>－</v>
      </c>
      <c r="V29" s="30">
        <f>14207305</f>
        <v>14207305</v>
      </c>
      <c r="W29" s="30" t="str">
        <f>"－"</f>
        <v>－</v>
      </c>
      <c r="X29" s="34">
        <f>20</f>
        <v>20</v>
      </c>
    </row>
    <row r="30" spans="1:24" x14ac:dyDescent="0.15">
      <c r="A30" s="25" t="s">
        <v>966</v>
      </c>
      <c r="B30" s="25" t="s">
        <v>119</v>
      </c>
      <c r="C30" s="25" t="s">
        <v>120</v>
      </c>
      <c r="D30" s="25" t="s">
        <v>121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1016.5</f>
        <v>1016.5</v>
      </c>
      <c r="L30" s="32" t="s">
        <v>904</v>
      </c>
      <c r="M30" s="31">
        <f>1107</f>
        <v>1107</v>
      </c>
      <c r="N30" s="32" t="s">
        <v>266</v>
      </c>
      <c r="O30" s="31">
        <f>976</f>
        <v>976</v>
      </c>
      <c r="P30" s="32" t="s">
        <v>810</v>
      </c>
      <c r="Q30" s="31">
        <f>1039</f>
        <v>1039</v>
      </c>
      <c r="R30" s="32" t="s">
        <v>94</v>
      </c>
      <c r="S30" s="33">
        <f>1042.39</f>
        <v>1042.3900000000001</v>
      </c>
      <c r="T30" s="30">
        <f>7236890</f>
        <v>7236890</v>
      </c>
      <c r="U30" s="30" t="str">
        <f>"－"</f>
        <v>－</v>
      </c>
      <c r="V30" s="30">
        <f>7564420912</f>
        <v>7564420912</v>
      </c>
      <c r="W30" s="30" t="str">
        <f>"－"</f>
        <v>－</v>
      </c>
      <c r="X30" s="34">
        <f>20</f>
        <v>20</v>
      </c>
    </row>
    <row r="31" spans="1:24" x14ac:dyDescent="0.15">
      <c r="A31" s="25" t="s">
        <v>966</v>
      </c>
      <c r="B31" s="25" t="s">
        <v>122</v>
      </c>
      <c r="C31" s="25" t="s">
        <v>123</v>
      </c>
      <c r="D31" s="25" t="s">
        <v>124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391</f>
        <v>391</v>
      </c>
      <c r="L31" s="32" t="s">
        <v>904</v>
      </c>
      <c r="M31" s="31">
        <f>435</f>
        <v>435</v>
      </c>
      <c r="N31" s="32" t="s">
        <v>266</v>
      </c>
      <c r="O31" s="31">
        <f>381</f>
        <v>381</v>
      </c>
      <c r="P31" s="32" t="s">
        <v>810</v>
      </c>
      <c r="Q31" s="31">
        <f>409</f>
        <v>409</v>
      </c>
      <c r="R31" s="32" t="s">
        <v>94</v>
      </c>
      <c r="S31" s="33">
        <f>405.7</f>
        <v>405.7</v>
      </c>
      <c r="T31" s="30">
        <f>1015536573</f>
        <v>1015536573</v>
      </c>
      <c r="U31" s="30">
        <f>8188731</f>
        <v>8188731</v>
      </c>
      <c r="V31" s="30">
        <f>414898952264</f>
        <v>414898952264</v>
      </c>
      <c r="W31" s="30">
        <f>3258077953</f>
        <v>3258077953</v>
      </c>
      <c r="X31" s="34">
        <f>20</f>
        <v>20</v>
      </c>
    </row>
    <row r="32" spans="1:24" x14ac:dyDescent="0.15">
      <c r="A32" s="25" t="s">
        <v>966</v>
      </c>
      <c r="B32" s="25" t="s">
        <v>125</v>
      </c>
      <c r="C32" s="25" t="s">
        <v>126</v>
      </c>
      <c r="D32" s="25" t="s">
        <v>127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26830</f>
        <v>26830</v>
      </c>
      <c r="L32" s="32" t="s">
        <v>904</v>
      </c>
      <c r="M32" s="31">
        <f>27500</f>
        <v>27500</v>
      </c>
      <c r="N32" s="32" t="s">
        <v>810</v>
      </c>
      <c r="O32" s="31">
        <f>23790</f>
        <v>23790</v>
      </c>
      <c r="P32" s="32" t="s">
        <v>266</v>
      </c>
      <c r="Q32" s="31">
        <f>25245</f>
        <v>25245</v>
      </c>
      <c r="R32" s="32" t="s">
        <v>94</v>
      </c>
      <c r="S32" s="33">
        <f>25696.5</f>
        <v>25696.5</v>
      </c>
      <c r="T32" s="30">
        <f>393749</f>
        <v>393749</v>
      </c>
      <c r="U32" s="30" t="str">
        <f>"－"</f>
        <v>－</v>
      </c>
      <c r="V32" s="30">
        <f>10036976775</f>
        <v>10036976775</v>
      </c>
      <c r="W32" s="30" t="str">
        <f>"－"</f>
        <v>－</v>
      </c>
      <c r="X32" s="34">
        <f>20</f>
        <v>20</v>
      </c>
    </row>
    <row r="33" spans="1:24" x14ac:dyDescent="0.15">
      <c r="A33" s="25" t="s">
        <v>966</v>
      </c>
      <c r="B33" s="25" t="s">
        <v>128</v>
      </c>
      <c r="C33" s="25" t="s">
        <v>129</v>
      </c>
      <c r="D33" s="25" t="s">
        <v>130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10</v>
      </c>
      <c r="K33" s="31">
        <f>955</f>
        <v>955</v>
      </c>
      <c r="L33" s="32" t="s">
        <v>904</v>
      </c>
      <c r="M33" s="31">
        <f>1061</f>
        <v>1061</v>
      </c>
      <c r="N33" s="32" t="s">
        <v>266</v>
      </c>
      <c r="O33" s="31">
        <f>930.6</f>
        <v>930.6</v>
      </c>
      <c r="P33" s="32" t="s">
        <v>810</v>
      </c>
      <c r="Q33" s="31">
        <f>999.1</f>
        <v>999.1</v>
      </c>
      <c r="R33" s="32" t="s">
        <v>94</v>
      </c>
      <c r="S33" s="33">
        <f>990.95</f>
        <v>990.95</v>
      </c>
      <c r="T33" s="30">
        <f>179890550</f>
        <v>179890550</v>
      </c>
      <c r="U33" s="30">
        <f>500280</f>
        <v>500280</v>
      </c>
      <c r="V33" s="30">
        <f>179527212973</f>
        <v>179527212973</v>
      </c>
      <c r="W33" s="30">
        <f>496314982</f>
        <v>496314982</v>
      </c>
      <c r="X33" s="34">
        <f>20</f>
        <v>20</v>
      </c>
    </row>
    <row r="34" spans="1:24" x14ac:dyDescent="0.15">
      <c r="A34" s="25" t="s">
        <v>966</v>
      </c>
      <c r="B34" s="25" t="s">
        <v>131</v>
      </c>
      <c r="C34" s="25" t="s">
        <v>132</v>
      </c>
      <c r="D34" s="25" t="s">
        <v>133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17915</f>
        <v>17915</v>
      </c>
      <c r="L34" s="32" t="s">
        <v>904</v>
      </c>
      <c r="M34" s="31">
        <f>18205</f>
        <v>18205</v>
      </c>
      <c r="N34" s="32" t="s">
        <v>810</v>
      </c>
      <c r="O34" s="31">
        <f>17095</f>
        <v>17095</v>
      </c>
      <c r="P34" s="32" t="s">
        <v>266</v>
      </c>
      <c r="Q34" s="31">
        <f>17580</f>
        <v>17580</v>
      </c>
      <c r="R34" s="32" t="s">
        <v>94</v>
      </c>
      <c r="S34" s="33">
        <f>17635</f>
        <v>17635</v>
      </c>
      <c r="T34" s="30">
        <f>1167</f>
        <v>1167</v>
      </c>
      <c r="U34" s="30" t="str">
        <f>"－"</f>
        <v>－</v>
      </c>
      <c r="V34" s="30">
        <f>20451045</f>
        <v>20451045</v>
      </c>
      <c r="W34" s="30" t="str">
        <f>"－"</f>
        <v>－</v>
      </c>
      <c r="X34" s="34">
        <f>20</f>
        <v>20</v>
      </c>
    </row>
    <row r="35" spans="1:24" x14ac:dyDescent="0.15">
      <c r="A35" s="25" t="s">
        <v>966</v>
      </c>
      <c r="B35" s="25" t="s">
        <v>134</v>
      </c>
      <c r="C35" s="25" t="s">
        <v>135</v>
      </c>
      <c r="D35" s="25" t="s">
        <v>136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22250</f>
        <v>22250</v>
      </c>
      <c r="L35" s="32" t="s">
        <v>904</v>
      </c>
      <c r="M35" s="31">
        <f>22860</f>
        <v>22860</v>
      </c>
      <c r="N35" s="32" t="s">
        <v>810</v>
      </c>
      <c r="O35" s="31">
        <f>19770</f>
        <v>19770</v>
      </c>
      <c r="P35" s="32" t="s">
        <v>266</v>
      </c>
      <c r="Q35" s="31">
        <f>20970</f>
        <v>20970</v>
      </c>
      <c r="R35" s="32" t="s">
        <v>94</v>
      </c>
      <c r="S35" s="33">
        <f>21358.75</f>
        <v>21358.75</v>
      </c>
      <c r="T35" s="30">
        <f>1106059</f>
        <v>1106059</v>
      </c>
      <c r="U35" s="30">
        <f>16</f>
        <v>16</v>
      </c>
      <c r="V35" s="30">
        <f>23497422630</f>
        <v>23497422630</v>
      </c>
      <c r="W35" s="30">
        <f>338120</f>
        <v>338120</v>
      </c>
      <c r="X35" s="34">
        <f>20</f>
        <v>20</v>
      </c>
    </row>
    <row r="36" spans="1:24" x14ac:dyDescent="0.15">
      <c r="A36" s="25" t="s">
        <v>966</v>
      </c>
      <c r="B36" s="25" t="s">
        <v>137</v>
      </c>
      <c r="C36" s="25" t="s">
        <v>138</v>
      </c>
      <c r="D36" s="25" t="s">
        <v>139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1022</f>
        <v>1022</v>
      </c>
      <c r="L36" s="32" t="s">
        <v>904</v>
      </c>
      <c r="M36" s="31">
        <f>1135</f>
        <v>1135</v>
      </c>
      <c r="N36" s="32" t="s">
        <v>266</v>
      </c>
      <c r="O36" s="31">
        <f>994</f>
        <v>994</v>
      </c>
      <c r="P36" s="32" t="s">
        <v>810</v>
      </c>
      <c r="Q36" s="31">
        <f>1068</f>
        <v>1068</v>
      </c>
      <c r="R36" s="32" t="s">
        <v>94</v>
      </c>
      <c r="S36" s="33">
        <f>1058.75</f>
        <v>1058.75</v>
      </c>
      <c r="T36" s="30">
        <f>22926943</f>
        <v>22926943</v>
      </c>
      <c r="U36" s="30">
        <f>446</f>
        <v>446</v>
      </c>
      <c r="V36" s="30">
        <f>24438601255</f>
        <v>24438601255</v>
      </c>
      <c r="W36" s="30">
        <f>477150</f>
        <v>477150</v>
      </c>
      <c r="X36" s="34">
        <f>20</f>
        <v>20</v>
      </c>
    </row>
    <row r="37" spans="1:24" x14ac:dyDescent="0.15">
      <c r="A37" s="25" t="s">
        <v>966</v>
      </c>
      <c r="B37" s="25" t="s">
        <v>140</v>
      </c>
      <c r="C37" s="25" t="s">
        <v>141</v>
      </c>
      <c r="D37" s="25" t="s">
        <v>142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18545</f>
        <v>18545</v>
      </c>
      <c r="L37" s="32" t="s">
        <v>904</v>
      </c>
      <c r="M37" s="31">
        <f>19290</f>
        <v>19290</v>
      </c>
      <c r="N37" s="32" t="s">
        <v>810</v>
      </c>
      <c r="O37" s="31">
        <f>16835</f>
        <v>16835</v>
      </c>
      <c r="P37" s="32" t="s">
        <v>266</v>
      </c>
      <c r="Q37" s="31">
        <f>17890</f>
        <v>17890</v>
      </c>
      <c r="R37" s="32" t="s">
        <v>94</v>
      </c>
      <c r="S37" s="33">
        <f>17988.75</f>
        <v>17988.75</v>
      </c>
      <c r="T37" s="30">
        <f>169448</f>
        <v>169448</v>
      </c>
      <c r="U37" s="30" t="str">
        <f>"－"</f>
        <v>－</v>
      </c>
      <c r="V37" s="30">
        <f>3047917535</f>
        <v>3047917535</v>
      </c>
      <c r="W37" s="30" t="str">
        <f>"－"</f>
        <v>－</v>
      </c>
      <c r="X37" s="34">
        <f>20</f>
        <v>20</v>
      </c>
    </row>
    <row r="38" spans="1:24" x14ac:dyDescent="0.15">
      <c r="A38" s="25" t="s">
        <v>966</v>
      </c>
      <c r="B38" s="25" t="s">
        <v>143</v>
      </c>
      <c r="C38" s="25" t="s">
        <v>144</v>
      </c>
      <c r="D38" s="25" t="s">
        <v>145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1471</f>
        <v>1471</v>
      </c>
      <c r="L38" s="32" t="s">
        <v>904</v>
      </c>
      <c r="M38" s="31">
        <f>1605</f>
        <v>1605</v>
      </c>
      <c r="N38" s="32" t="s">
        <v>266</v>
      </c>
      <c r="O38" s="31">
        <f>1413</f>
        <v>1413</v>
      </c>
      <c r="P38" s="32" t="s">
        <v>810</v>
      </c>
      <c r="Q38" s="31">
        <f>1513</f>
        <v>1513</v>
      </c>
      <c r="R38" s="32" t="s">
        <v>94</v>
      </c>
      <c r="S38" s="33">
        <f>1513.15</f>
        <v>1513.15</v>
      </c>
      <c r="T38" s="30">
        <f>1308642</f>
        <v>1308642</v>
      </c>
      <c r="U38" s="30" t="str">
        <f>"－"</f>
        <v>－</v>
      </c>
      <c r="V38" s="30">
        <f>1985106763</f>
        <v>1985106763</v>
      </c>
      <c r="W38" s="30" t="str">
        <f>"－"</f>
        <v>－</v>
      </c>
      <c r="X38" s="34">
        <f>20</f>
        <v>20</v>
      </c>
    </row>
    <row r="39" spans="1:24" x14ac:dyDescent="0.15">
      <c r="A39" s="25" t="s">
        <v>966</v>
      </c>
      <c r="B39" s="25" t="s">
        <v>146</v>
      </c>
      <c r="C39" s="25" t="s">
        <v>147</v>
      </c>
      <c r="D39" s="25" t="s">
        <v>148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27825</f>
        <v>27825</v>
      </c>
      <c r="L39" s="32" t="s">
        <v>904</v>
      </c>
      <c r="M39" s="31">
        <f>28195</f>
        <v>28195</v>
      </c>
      <c r="N39" s="32" t="s">
        <v>810</v>
      </c>
      <c r="O39" s="31">
        <f>26270</f>
        <v>26270</v>
      </c>
      <c r="P39" s="32" t="s">
        <v>266</v>
      </c>
      <c r="Q39" s="31">
        <f>27055</f>
        <v>27055</v>
      </c>
      <c r="R39" s="32" t="s">
        <v>94</v>
      </c>
      <c r="S39" s="33">
        <f>27265.5</f>
        <v>27265.5</v>
      </c>
      <c r="T39" s="30">
        <f>313192</f>
        <v>313192</v>
      </c>
      <c r="U39" s="30">
        <f>13280</f>
        <v>13280</v>
      </c>
      <c r="V39" s="30">
        <f>8543044960</f>
        <v>8543044960</v>
      </c>
      <c r="W39" s="30">
        <f>371573230</f>
        <v>371573230</v>
      </c>
      <c r="X39" s="34">
        <f>20</f>
        <v>20</v>
      </c>
    </row>
    <row r="40" spans="1:24" x14ac:dyDescent="0.15">
      <c r="A40" s="25" t="s">
        <v>966</v>
      </c>
      <c r="B40" s="25" t="s">
        <v>149</v>
      </c>
      <c r="C40" s="25" t="s">
        <v>150</v>
      </c>
      <c r="D40" s="25" t="s">
        <v>151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5420</f>
        <v>5420</v>
      </c>
      <c r="L40" s="32" t="s">
        <v>904</v>
      </c>
      <c r="M40" s="31">
        <f>5680</f>
        <v>5680</v>
      </c>
      <c r="N40" s="32" t="s">
        <v>810</v>
      </c>
      <c r="O40" s="31">
        <f>5130</f>
        <v>5130</v>
      </c>
      <c r="P40" s="32" t="s">
        <v>94</v>
      </c>
      <c r="Q40" s="31">
        <f>5180</f>
        <v>5180</v>
      </c>
      <c r="R40" s="32" t="s">
        <v>94</v>
      </c>
      <c r="S40" s="33">
        <f>5360.5</f>
        <v>5360.5</v>
      </c>
      <c r="T40" s="30">
        <f>8623</f>
        <v>8623</v>
      </c>
      <c r="U40" s="30" t="str">
        <f t="shared" ref="U40:U48" si="0">"－"</f>
        <v>－</v>
      </c>
      <c r="V40" s="30">
        <f>46368340</f>
        <v>46368340</v>
      </c>
      <c r="W40" s="30" t="str">
        <f t="shared" ref="W40:W48" si="1">"－"</f>
        <v>－</v>
      </c>
      <c r="X40" s="34">
        <f>20</f>
        <v>20</v>
      </c>
    </row>
    <row r="41" spans="1:24" x14ac:dyDescent="0.15">
      <c r="A41" s="25" t="s">
        <v>966</v>
      </c>
      <c r="B41" s="25" t="s">
        <v>152</v>
      </c>
      <c r="C41" s="25" t="s">
        <v>153</v>
      </c>
      <c r="D41" s="25" t="s">
        <v>154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10090</f>
        <v>10090</v>
      </c>
      <c r="L41" s="32" t="s">
        <v>904</v>
      </c>
      <c r="M41" s="31">
        <f>10585</f>
        <v>10585</v>
      </c>
      <c r="N41" s="32" t="s">
        <v>87</v>
      </c>
      <c r="O41" s="31">
        <f>9763</f>
        <v>9763</v>
      </c>
      <c r="P41" s="32" t="s">
        <v>266</v>
      </c>
      <c r="Q41" s="31">
        <f>9920</f>
        <v>9920</v>
      </c>
      <c r="R41" s="32" t="s">
        <v>94</v>
      </c>
      <c r="S41" s="33">
        <f>10220.9</f>
        <v>10220.9</v>
      </c>
      <c r="T41" s="30">
        <f>1808</f>
        <v>1808</v>
      </c>
      <c r="U41" s="30" t="str">
        <f t="shared" si="0"/>
        <v>－</v>
      </c>
      <c r="V41" s="30">
        <f>18533246</f>
        <v>18533246</v>
      </c>
      <c r="W41" s="30" t="str">
        <f t="shared" si="1"/>
        <v>－</v>
      </c>
      <c r="X41" s="34">
        <f>20</f>
        <v>20</v>
      </c>
    </row>
    <row r="42" spans="1:24" x14ac:dyDescent="0.15">
      <c r="A42" s="25" t="s">
        <v>966</v>
      </c>
      <c r="B42" s="25" t="s">
        <v>155</v>
      </c>
      <c r="C42" s="25" t="s">
        <v>156</v>
      </c>
      <c r="D42" s="25" t="s">
        <v>157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18880</f>
        <v>18880</v>
      </c>
      <c r="L42" s="32" t="s">
        <v>904</v>
      </c>
      <c r="M42" s="31">
        <f>19395</f>
        <v>19395</v>
      </c>
      <c r="N42" s="32" t="s">
        <v>66</v>
      </c>
      <c r="O42" s="31">
        <f>18270</f>
        <v>18270</v>
      </c>
      <c r="P42" s="32" t="s">
        <v>821</v>
      </c>
      <c r="Q42" s="31">
        <f>18640</f>
        <v>18640</v>
      </c>
      <c r="R42" s="32" t="s">
        <v>815</v>
      </c>
      <c r="S42" s="33">
        <f>18758.18</f>
        <v>18758.18</v>
      </c>
      <c r="T42" s="30">
        <f>84</f>
        <v>84</v>
      </c>
      <c r="U42" s="30" t="str">
        <f t="shared" si="0"/>
        <v>－</v>
      </c>
      <c r="V42" s="30">
        <f>1562295</f>
        <v>1562295</v>
      </c>
      <c r="W42" s="30" t="str">
        <f t="shared" si="1"/>
        <v>－</v>
      </c>
      <c r="X42" s="34">
        <f>11</f>
        <v>11</v>
      </c>
    </row>
    <row r="43" spans="1:24" x14ac:dyDescent="0.15">
      <c r="A43" s="25" t="s">
        <v>966</v>
      </c>
      <c r="B43" s="25" t="s">
        <v>158</v>
      </c>
      <c r="C43" s="25" t="s">
        <v>159</v>
      </c>
      <c r="D43" s="25" t="s">
        <v>160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16655</f>
        <v>16655</v>
      </c>
      <c r="L43" s="32" t="s">
        <v>811</v>
      </c>
      <c r="M43" s="31">
        <f>17165</f>
        <v>17165</v>
      </c>
      <c r="N43" s="32" t="s">
        <v>815</v>
      </c>
      <c r="O43" s="31">
        <f>15940</f>
        <v>15940</v>
      </c>
      <c r="P43" s="32" t="s">
        <v>70</v>
      </c>
      <c r="Q43" s="31">
        <f>17165</f>
        <v>17165</v>
      </c>
      <c r="R43" s="32" t="s">
        <v>815</v>
      </c>
      <c r="S43" s="33">
        <f>16827.5</f>
        <v>16827.5</v>
      </c>
      <c r="T43" s="30">
        <f>109</f>
        <v>109</v>
      </c>
      <c r="U43" s="30" t="str">
        <f t="shared" si="0"/>
        <v>－</v>
      </c>
      <c r="V43" s="30">
        <f>1770920</f>
        <v>1770920</v>
      </c>
      <c r="W43" s="30" t="str">
        <f t="shared" si="1"/>
        <v>－</v>
      </c>
      <c r="X43" s="34">
        <f>6</f>
        <v>6</v>
      </c>
    </row>
    <row r="44" spans="1:24" x14ac:dyDescent="0.15">
      <c r="A44" s="25" t="s">
        <v>966</v>
      </c>
      <c r="B44" s="25" t="s">
        <v>161</v>
      </c>
      <c r="C44" s="25" t="s">
        <v>162</v>
      </c>
      <c r="D44" s="25" t="s">
        <v>163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11055</f>
        <v>11055</v>
      </c>
      <c r="L44" s="32" t="s">
        <v>904</v>
      </c>
      <c r="M44" s="31">
        <f>11970</f>
        <v>11970</v>
      </c>
      <c r="N44" s="32" t="s">
        <v>66</v>
      </c>
      <c r="O44" s="31">
        <f>10960</f>
        <v>10960</v>
      </c>
      <c r="P44" s="32" t="s">
        <v>266</v>
      </c>
      <c r="Q44" s="31">
        <f>11410</f>
        <v>11410</v>
      </c>
      <c r="R44" s="32" t="s">
        <v>94</v>
      </c>
      <c r="S44" s="33">
        <f>11521.5</f>
        <v>11521.5</v>
      </c>
      <c r="T44" s="30">
        <f>1801</f>
        <v>1801</v>
      </c>
      <c r="U44" s="30" t="str">
        <f t="shared" si="0"/>
        <v>－</v>
      </c>
      <c r="V44" s="30">
        <f>20896900</f>
        <v>20896900</v>
      </c>
      <c r="W44" s="30" t="str">
        <f t="shared" si="1"/>
        <v>－</v>
      </c>
      <c r="X44" s="34">
        <f>20</f>
        <v>20</v>
      </c>
    </row>
    <row r="45" spans="1:24" x14ac:dyDescent="0.15">
      <c r="A45" s="25" t="s">
        <v>966</v>
      </c>
      <c r="B45" s="25" t="s">
        <v>164</v>
      </c>
      <c r="C45" s="25" t="s">
        <v>165</v>
      </c>
      <c r="D45" s="25" t="s">
        <v>166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5850</f>
        <v>5850</v>
      </c>
      <c r="L45" s="32" t="s">
        <v>904</v>
      </c>
      <c r="M45" s="31">
        <f>6130</f>
        <v>6130</v>
      </c>
      <c r="N45" s="32" t="s">
        <v>87</v>
      </c>
      <c r="O45" s="31">
        <f>5560</f>
        <v>5560</v>
      </c>
      <c r="P45" s="32" t="s">
        <v>266</v>
      </c>
      <c r="Q45" s="31">
        <f>5710</f>
        <v>5710</v>
      </c>
      <c r="R45" s="32" t="s">
        <v>94</v>
      </c>
      <c r="S45" s="33">
        <f>5898.5</f>
        <v>5898.5</v>
      </c>
      <c r="T45" s="30">
        <f>2826</f>
        <v>2826</v>
      </c>
      <c r="U45" s="30" t="str">
        <f t="shared" si="0"/>
        <v>－</v>
      </c>
      <c r="V45" s="30">
        <f>16638640</f>
        <v>16638640</v>
      </c>
      <c r="W45" s="30" t="str">
        <f t="shared" si="1"/>
        <v>－</v>
      </c>
      <c r="X45" s="34">
        <f>20</f>
        <v>20</v>
      </c>
    </row>
    <row r="46" spans="1:24" x14ac:dyDescent="0.15">
      <c r="A46" s="25" t="s">
        <v>966</v>
      </c>
      <c r="B46" s="25" t="s">
        <v>167</v>
      </c>
      <c r="C46" s="25" t="s">
        <v>168</v>
      </c>
      <c r="D46" s="25" t="s">
        <v>169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3135</f>
        <v>3135</v>
      </c>
      <c r="L46" s="32" t="s">
        <v>904</v>
      </c>
      <c r="M46" s="31">
        <f>3310</f>
        <v>3310</v>
      </c>
      <c r="N46" s="32" t="s">
        <v>915</v>
      </c>
      <c r="O46" s="31">
        <f>3040</f>
        <v>3040</v>
      </c>
      <c r="P46" s="32" t="s">
        <v>266</v>
      </c>
      <c r="Q46" s="31">
        <f>3190</f>
        <v>3190</v>
      </c>
      <c r="R46" s="32" t="s">
        <v>94</v>
      </c>
      <c r="S46" s="33">
        <f>3220.75</f>
        <v>3220.75</v>
      </c>
      <c r="T46" s="30">
        <f>6878</f>
        <v>6878</v>
      </c>
      <c r="U46" s="30" t="str">
        <f t="shared" si="0"/>
        <v>－</v>
      </c>
      <c r="V46" s="30">
        <f>22259425</f>
        <v>22259425</v>
      </c>
      <c r="W46" s="30" t="str">
        <f t="shared" si="1"/>
        <v>－</v>
      </c>
      <c r="X46" s="34">
        <f>20</f>
        <v>20</v>
      </c>
    </row>
    <row r="47" spans="1:24" x14ac:dyDescent="0.15">
      <c r="A47" s="25" t="s">
        <v>966</v>
      </c>
      <c r="B47" s="25" t="s">
        <v>170</v>
      </c>
      <c r="C47" s="25" t="s">
        <v>171</v>
      </c>
      <c r="D47" s="25" t="s">
        <v>172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3070</f>
        <v>3070</v>
      </c>
      <c r="L47" s="32" t="s">
        <v>904</v>
      </c>
      <c r="M47" s="31">
        <f>3320</f>
        <v>3320</v>
      </c>
      <c r="N47" s="32" t="s">
        <v>87</v>
      </c>
      <c r="O47" s="31">
        <f>2968</f>
        <v>2968</v>
      </c>
      <c r="P47" s="32" t="s">
        <v>266</v>
      </c>
      <c r="Q47" s="31">
        <f>3055</f>
        <v>3055</v>
      </c>
      <c r="R47" s="32" t="s">
        <v>94</v>
      </c>
      <c r="S47" s="33">
        <f>3130.75</f>
        <v>3130.75</v>
      </c>
      <c r="T47" s="30">
        <f>4129</f>
        <v>4129</v>
      </c>
      <c r="U47" s="30" t="str">
        <f t="shared" si="0"/>
        <v>－</v>
      </c>
      <c r="V47" s="30">
        <f>12888884</f>
        <v>12888884</v>
      </c>
      <c r="W47" s="30" t="str">
        <f t="shared" si="1"/>
        <v>－</v>
      </c>
      <c r="X47" s="34">
        <f>20</f>
        <v>20</v>
      </c>
    </row>
    <row r="48" spans="1:24" x14ac:dyDescent="0.15">
      <c r="A48" s="25" t="s">
        <v>966</v>
      </c>
      <c r="B48" s="25" t="s">
        <v>173</v>
      </c>
      <c r="C48" s="25" t="s">
        <v>174</v>
      </c>
      <c r="D48" s="25" t="s">
        <v>175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53870</f>
        <v>53870</v>
      </c>
      <c r="L48" s="32" t="s">
        <v>904</v>
      </c>
      <c r="M48" s="31">
        <f>56210</f>
        <v>56210</v>
      </c>
      <c r="N48" s="32" t="s">
        <v>66</v>
      </c>
      <c r="O48" s="31">
        <f>51760</f>
        <v>51760</v>
      </c>
      <c r="P48" s="32" t="s">
        <v>266</v>
      </c>
      <c r="Q48" s="31">
        <f>53350</f>
        <v>53350</v>
      </c>
      <c r="R48" s="32" t="s">
        <v>94</v>
      </c>
      <c r="S48" s="33">
        <f>54375.79</f>
        <v>54375.79</v>
      </c>
      <c r="T48" s="30">
        <f>1439</f>
        <v>1439</v>
      </c>
      <c r="U48" s="30" t="str">
        <f t="shared" si="0"/>
        <v>－</v>
      </c>
      <c r="V48" s="30">
        <f>78021210</f>
        <v>78021210</v>
      </c>
      <c r="W48" s="30" t="str">
        <f t="shared" si="1"/>
        <v>－</v>
      </c>
      <c r="X48" s="34">
        <f>19</f>
        <v>19</v>
      </c>
    </row>
    <row r="49" spans="1:24" x14ac:dyDescent="0.15">
      <c r="A49" s="25" t="s">
        <v>966</v>
      </c>
      <c r="B49" s="25" t="s">
        <v>176</v>
      </c>
      <c r="C49" s="25" t="s">
        <v>177</v>
      </c>
      <c r="D49" s="25" t="s">
        <v>178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38010</f>
        <v>38010</v>
      </c>
      <c r="L49" s="32" t="s">
        <v>904</v>
      </c>
      <c r="M49" s="31">
        <f>39810</f>
        <v>39810</v>
      </c>
      <c r="N49" s="32" t="s">
        <v>904</v>
      </c>
      <c r="O49" s="31">
        <f>36990</f>
        <v>36990</v>
      </c>
      <c r="P49" s="32" t="s">
        <v>94</v>
      </c>
      <c r="Q49" s="31">
        <f>37090</f>
        <v>37090</v>
      </c>
      <c r="R49" s="32" t="s">
        <v>94</v>
      </c>
      <c r="S49" s="33">
        <f>37901.54</f>
        <v>37901.54</v>
      </c>
      <c r="T49" s="30">
        <f>125</f>
        <v>125</v>
      </c>
      <c r="U49" s="30">
        <f>4</f>
        <v>4</v>
      </c>
      <c r="V49" s="30">
        <f>4760630</f>
        <v>4760630</v>
      </c>
      <c r="W49" s="30">
        <f>150120</f>
        <v>150120</v>
      </c>
      <c r="X49" s="34">
        <f>13</f>
        <v>13</v>
      </c>
    </row>
    <row r="50" spans="1:24" x14ac:dyDescent="0.15">
      <c r="A50" s="25" t="s">
        <v>966</v>
      </c>
      <c r="B50" s="25" t="s">
        <v>179</v>
      </c>
      <c r="C50" s="25" t="s">
        <v>180</v>
      </c>
      <c r="D50" s="25" t="s">
        <v>181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28000</f>
        <v>28000</v>
      </c>
      <c r="L50" s="32" t="s">
        <v>904</v>
      </c>
      <c r="M50" s="31">
        <f>28390</f>
        <v>28390</v>
      </c>
      <c r="N50" s="32" t="s">
        <v>810</v>
      </c>
      <c r="O50" s="31">
        <f>26350</f>
        <v>26350</v>
      </c>
      <c r="P50" s="32" t="s">
        <v>266</v>
      </c>
      <c r="Q50" s="31">
        <f>27045</f>
        <v>27045</v>
      </c>
      <c r="R50" s="32" t="s">
        <v>94</v>
      </c>
      <c r="S50" s="33">
        <f>27298.68</f>
        <v>27298.68</v>
      </c>
      <c r="T50" s="30">
        <f>128073</f>
        <v>128073</v>
      </c>
      <c r="U50" s="30">
        <f>75987</f>
        <v>75987</v>
      </c>
      <c r="V50" s="30">
        <f>3532483541</f>
        <v>3532483541</v>
      </c>
      <c r="W50" s="30">
        <f>2111973141</f>
        <v>2111973141</v>
      </c>
      <c r="X50" s="34">
        <f>19</f>
        <v>19</v>
      </c>
    </row>
    <row r="51" spans="1:24" x14ac:dyDescent="0.15">
      <c r="A51" s="25" t="s">
        <v>966</v>
      </c>
      <c r="B51" s="25" t="s">
        <v>182</v>
      </c>
      <c r="C51" s="25" t="s">
        <v>183</v>
      </c>
      <c r="D51" s="25" t="s">
        <v>184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2026.5</f>
        <v>2026.5</v>
      </c>
      <c r="L51" s="32" t="s">
        <v>904</v>
      </c>
      <c r="M51" s="31">
        <f>2094.5</f>
        <v>2094.5</v>
      </c>
      <c r="N51" s="32" t="s">
        <v>811</v>
      </c>
      <c r="O51" s="31">
        <f>2000</f>
        <v>2000</v>
      </c>
      <c r="P51" s="32" t="s">
        <v>87</v>
      </c>
      <c r="Q51" s="31">
        <f>2029</f>
        <v>2029</v>
      </c>
      <c r="R51" s="32" t="s">
        <v>94</v>
      </c>
      <c r="S51" s="33">
        <f>2036.75</f>
        <v>2036.75</v>
      </c>
      <c r="T51" s="30">
        <f>489660</f>
        <v>489660</v>
      </c>
      <c r="U51" s="30">
        <f>75000</f>
        <v>75000</v>
      </c>
      <c r="V51" s="30">
        <f>996151530</f>
        <v>996151530</v>
      </c>
      <c r="W51" s="30">
        <f>152021500</f>
        <v>152021500</v>
      </c>
      <c r="X51" s="34">
        <f>20</f>
        <v>20</v>
      </c>
    </row>
    <row r="52" spans="1:24" x14ac:dyDescent="0.15">
      <c r="A52" s="25" t="s">
        <v>966</v>
      </c>
      <c r="B52" s="25" t="s">
        <v>185</v>
      </c>
      <c r="C52" s="25" t="s">
        <v>186</v>
      </c>
      <c r="D52" s="25" t="s">
        <v>187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10</v>
      </c>
      <c r="K52" s="31">
        <f>1609.5</f>
        <v>1609.5</v>
      </c>
      <c r="L52" s="32" t="s">
        <v>811</v>
      </c>
      <c r="M52" s="31">
        <f>1609.5</f>
        <v>1609.5</v>
      </c>
      <c r="N52" s="32" t="s">
        <v>811</v>
      </c>
      <c r="O52" s="31">
        <f>1534</f>
        <v>1534</v>
      </c>
      <c r="P52" s="32" t="s">
        <v>70</v>
      </c>
      <c r="Q52" s="31">
        <f>1543.5</f>
        <v>1543.5</v>
      </c>
      <c r="R52" s="32" t="s">
        <v>266</v>
      </c>
      <c r="S52" s="33">
        <f>1561.5</f>
        <v>1561.5</v>
      </c>
      <c r="T52" s="30">
        <f>6370</f>
        <v>6370</v>
      </c>
      <c r="U52" s="30" t="str">
        <f>"－"</f>
        <v>－</v>
      </c>
      <c r="V52" s="30">
        <f>10112245</f>
        <v>10112245</v>
      </c>
      <c r="W52" s="30" t="str">
        <f>"－"</f>
        <v>－</v>
      </c>
      <c r="X52" s="34">
        <f>11</f>
        <v>11</v>
      </c>
    </row>
    <row r="53" spans="1:24" x14ac:dyDescent="0.15">
      <c r="A53" s="25" t="s">
        <v>966</v>
      </c>
      <c r="B53" s="25" t="s">
        <v>188</v>
      </c>
      <c r="C53" s="25" t="s">
        <v>189</v>
      </c>
      <c r="D53" s="25" t="s">
        <v>190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4280</f>
        <v>4280</v>
      </c>
      <c r="L53" s="32" t="s">
        <v>904</v>
      </c>
      <c r="M53" s="31">
        <f>4515</f>
        <v>4515</v>
      </c>
      <c r="N53" s="32" t="s">
        <v>266</v>
      </c>
      <c r="O53" s="31">
        <f>4220</f>
        <v>4220</v>
      </c>
      <c r="P53" s="32" t="s">
        <v>810</v>
      </c>
      <c r="Q53" s="31">
        <f>4380</f>
        <v>4380</v>
      </c>
      <c r="R53" s="32" t="s">
        <v>94</v>
      </c>
      <c r="S53" s="33">
        <f>4360.75</f>
        <v>4360.75</v>
      </c>
      <c r="T53" s="30">
        <f>1181016</f>
        <v>1181016</v>
      </c>
      <c r="U53" s="30">
        <f>474000</f>
        <v>474000</v>
      </c>
      <c r="V53" s="30">
        <f>5144383080</f>
        <v>5144383080</v>
      </c>
      <c r="W53" s="30">
        <f>2055254200</f>
        <v>2055254200</v>
      </c>
      <c r="X53" s="34">
        <f>20</f>
        <v>20</v>
      </c>
    </row>
    <row r="54" spans="1:24" x14ac:dyDescent="0.15">
      <c r="A54" s="25" t="s">
        <v>966</v>
      </c>
      <c r="B54" s="25" t="s">
        <v>191</v>
      </c>
      <c r="C54" s="25" t="s">
        <v>192</v>
      </c>
      <c r="D54" s="25" t="s">
        <v>193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5060</f>
        <v>5060</v>
      </c>
      <c r="L54" s="32" t="s">
        <v>904</v>
      </c>
      <c r="M54" s="31">
        <f>5280</f>
        <v>5280</v>
      </c>
      <c r="N54" s="32" t="s">
        <v>266</v>
      </c>
      <c r="O54" s="31">
        <f>4950</f>
        <v>4950</v>
      </c>
      <c r="P54" s="32" t="s">
        <v>810</v>
      </c>
      <c r="Q54" s="31">
        <f>5130</f>
        <v>5130</v>
      </c>
      <c r="R54" s="32" t="s">
        <v>94</v>
      </c>
      <c r="S54" s="33">
        <f>5131</f>
        <v>5131</v>
      </c>
      <c r="T54" s="30">
        <f>54815</f>
        <v>54815</v>
      </c>
      <c r="U54" s="30">
        <f>45000</f>
        <v>45000</v>
      </c>
      <c r="V54" s="30">
        <f>276157990</f>
        <v>276157990</v>
      </c>
      <c r="W54" s="30">
        <f>225463500</f>
        <v>225463500</v>
      </c>
      <c r="X54" s="34">
        <f>20</f>
        <v>20</v>
      </c>
    </row>
    <row r="55" spans="1:24" x14ac:dyDescent="0.15">
      <c r="A55" s="25" t="s">
        <v>966</v>
      </c>
      <c r="B55" s="25" t="s">
        <v>194</v>
      </c>
      <c r="C55" s="25" t="s">
        <v>195</v>
      </c>
      <c r="D55" s="25" t="s">
        <v>196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16915</f>
        <v>16915</v>
      </c>
      <c r="L55" s="32" t="s">
        <v>904</v>
      </c>
      <c r="M55" s="31">
        <f>17385</f>
        <v>17385</v>
      </c>
      <c r="N55" s="32" t="s">
        <v>810</v>
      </c>
      <c r="O55" s="31">
        <f>15020</f>
        <v>15020</v>
      </c>
      <c r="P55" s="32" t="s">
        <v>266</v>
      </c>
      <c r="Q55" s="31">
        <f>15960</f>
        <v>15960</v>
      </c>
      <c r="R55" s="32" t="s">
        <v>94</v>
      </c>
      <c r="S55" s="33">
        <f>16233.25</f>
        <v>16233.25</v>
      </c>
      <c r="T55" s="30">
        <f>11488857</f>
        <v>11488857</v>
      </c>
      <c r="U55" s="30">
        <f>15010</f>
        <v>15010</v>
      </c>
      <c r="V55" s="30">
        <f>185608231850</f>
        <v>185608231850</v>
      </c>
      <c r="W55" s="30">
        <f>240199840</f>
        <v>240199840</v>
      </c>
      <c r="X55" s="34">
        <f>20</f>
        <v>20</v>
      </c>
    </row>
    <row r="56" spans="1:24" x14ac:dyDescent="0.15">
      <c r="A56" s="25" t="s">
        <v>966</v>
      </c>
      <c r="B56" s="25" t="s">
        <v>197</v>
      </c>
      <c r="C56" s="25" t="s">
        <v>198</v>
      </c>
      <c r="D56" s="25" t="s">
        <v>199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1568</f>
        <v>1568</v>
      </c>
      <c r="L56" s="32" t="s">
        <v>904</v>
      </c>
      <c r="M56" s="31">
        <f>1741</f>
        <v>1741</v>
      </c>
      <c r="N56" s="32" t="s">
        <v>266</v>
      </c>
      <c r="O56" s="31">
        <f>1525</f>
        <v>1525</v>
      </c>
      <c r="P56" s="32" t="s">
        <v>810</v>
      </c>
      <c r="Q56" s="31">
        <f>1640</f>
        <v>1640</v>
      </c>
      <c r="R56" s="32" t="s">
        <v>94</v>
      </c>
      <c r="S56" s="33">
        <f>1625.4</f>
        <v>1625.4</v>
      </c>
      <c r="T56" s="30">
        <f>155054456</f>
        <v>155054456</v>
      </c>
      <c r="U56" s="30">
        <f>500021</f>
        <v>500021</v>
      </c>
      <c r="V56" s="30">
        <f>253376368275</f>
        <v>253376368275</v>
      </c>
      <c r="W56" s="30">
        <f>782055004</f>
        <v>782055004</v>
      </c>
      <c r="X56" s="34">
        <f>20</f>
        <v>20</v>
      </c>
    </row>
    <row r="57" spans="1:24" x14ac:dyDescent="0.15">
      <c r="A57" s="25" t="s">
        <v>966</v>
      </c>
      <c r="B57" s="25" t="s">
        <v>200</v>
      </c>
      <c r="C57" s="25" t="s">
        <v>201</v>
      </c>
      <c r="D57" s="25" t="s">
        <v>202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14730</f>
        <v>14730</v>
      </c>
      <c r="L57" s="32" t="s">
        <v>904</v>
      </c>
      <c r="M57" s="31">
        <f>15120</f>
        <v>15120</v>
      </c>
      <c r="N57" s="32" t="s">
        <v>810</v>
      </c>
      <c r="O57" s="31">
        <f>13400</f>
        <v>13400</v>
      </c>
      <c r="P57" s="32" t="s">
        <v>266</v>
      </c>
      <c r="Q57" s="31">
        <f>14280</f>
        <v>14280</v>
      </c>
      <c r="R57" s="32" t="s">
        <v>94</v>
      </c>
      <c r="S57" s="33">
        <f>14270.25</f>
        <v>14270.25</v>
      </c>
      <c r="T57" s="30">
        <f>2511</f>
        <v>2511</v>
      </c>
      <c r="U57" s="30" t="str">
        <f>"－"</f>
        <v>－</v>
      </c>
      <c r="V57" s="30">
        <f>35855020</f>
        <v>35855020</v>
      </c>
      <c r="W57" s="30" t="str">
        <f>"－"</f>
        <v>－</v>
      </c>
      <c r="X57" s="34">
        <f>20</f>
        <v>20</v>
      </c>
    </row>
    <row r="58" spans="1:24" x14ac:dyDescent="0.15">
      <c r="A58" s="25" t="s">
        <v>966</v>
      </c>
      <c r="B58" s="25" t="s">
        <v>203</v>
      </c>
      <c r="C58" s="25" t="s">
        <v>204</v>
      </c>
      <c r="D58" s="25" t="s">
        <v>205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4855</f>
        <v>4855</v>
      </c>
      <c r="L58" s="32" t="s">
        <v>904</v>
      </c>
      <c r="M58" s="31">
        <f>5080</f>
        <v>5080</v>
      </c>
      <c r="N58" s="32" t="s">
        <v>266</v>
      </c>
      <c r="O58" s="31">
        <f>4785</f>
        <v>4785</v>
      </c>
      <c r="P58" s="32" t="s">
        <v>811</v>
      </c>
      <c r="Q58" s="31">
        <f>5050</f>
        <v>5050</v>
      </c>
      <c r="R58" s="32" t="s">
        <v>94</v>
      </c>
      <c r="S58" s="33">
        <f>4966.43</f>
        <v>4966.43</v>
      </c>
      <c r="T58" s="30">
        <f>175</f>
        <v>175</v>
      </c>
      <c r="U58" s="30" t="str">
        <f>"－"</f>
        <v>－</v>
      </c>
      <c r="V58" s="30">
        <f>868165</f>
        <v>868165</v>
      </c>
      <c r="W58" s="30" t="str">
        <f>"－"</f>
        <v>－</v>
      </c>
      <c r="X58" s="34">
        <f>14</f>
        <v>14</v>
      </c>
    </row>
    <row r="59" spans="1:24" x14ac:dyDescent="0.15">
      <c r="A59" s="25" t="s">
        <v>966</v>
      </c>
      <c r="B59" s="25" t="s">
        <v>206</v>
      </c>
      <c r="C59" s="25" t="s">
        <v>207</v>
      </c>
      <c r="D59" s="25" t="s">
        <v>208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1895</f>
        <v>1895</v>
      </c>
      <c r="L59" s="32" t="s">
        <v>904</v>
      </c>
      <c r="M59" s="31">
        <f>2074</f>
        <v>2074</v>
      </c>
      <c r="N59" s="32" t="s">
        <v>266</v>
      </c>
      <c r="O59" s="31">
        <f>1836</f>
        <v>1836</v>
      </c>
      <c r="P59" s="32" t="s">
        <v>811</v>
      </c>
      <c r="Q59" s="31">
        <f>1958</f>
        <v>1958</v>
      </c>
      <c r="R59" s="32" t="s">
        <v>94</v>
      </c>
      <c r="S59" s="33">
        <f>1957.45</f>
        <v>1957.45</v>
      </c>
      <c r="T59" s="30">
        <f>31985</f>
        <v>31985</v>
      </c>
      <c r="U59" s="30" t="str">
        <f>"－"</f>
        <v>－</v>
      </c>
      <c r="V59" s="30">
        <f>63279827</f>
        <v>63279827</v>
      </c>
      <c r="W59" s="30" t="str">
        <f>"－"</f>
        <v>－</v>
      </c>
      <c r="X59" s="34">
        <f>20</f>
        <v>20</v>
      </c>
    </row>
    <row r="60" spans="1:24" x14ac:dyDescent="0.15">
      <c r="A60" s="25" t="s">
        <v>966</v>
      </c>
      <c r="B60" s="25" t="s">
        <v>209</v>
      </c>
      <c r="C60" s="25" t="s">
        <v>210</v>
      </c>
      <c r="D60" s="25" t="s">
        <v>211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14000</f>
        <v>14000</v>
      </c>
      <c r="L60" s="32" t="s">
        <v>904</v>
      </c>
      <c r="M60" s="31">
        <f>14550</f>
        <v>14550</v>
      </c>
      <c r="N60" s="32" t="s">
        <v>810</v>
      </c>
      <c r="O60" s="31">
        <f>12875</f>
        <v>12875</v>
      </c>
      <c r="P60" s="32" t="s">
        <v>266</v>
      </c>
      <c r="Q60" s="31">
        <f>13530</f>
        <v>13530</v>
      </c>
      <c r="R60" s="32" t="s">
        <v>94</v>
      </c>
      <c r="S60" s="33">
        <f>13645.83</f>
        <v>13645.83</v>
      </c>
      <c r="T60" s="30">
        <f>3280</f>
        <v>3280</v>
      </c>
      <c r="U60" s="30">
        <f>10</f>
        <v>10</v>
      </c>
      <c r="V60" s="30">
        <f>44480400</f>
        <v>44480400</v>
      </c>
      <c r="W60" s="30">
        <f>134300</f>
        <v>134300</v>
      </c>
      <c r="X60" s="34">
        <f>18</f>
        <v>18</v>
      </c>
    </row>
    <row r="61" spans="1:24" x14ac:dyDescent="0.15">
      <c r="A61" s="25" t="s">
        <v>966</v>
      </c>
      <c r="B61" s="25" t="s">
        <v>212</v>
      </c>
      <c r="C61" s="25" t="s">
        <v>213</v>
      </c>
      <c r="D61" s="25" t="s">
        <v>214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4570</f>
        <v>4570</v>
      </c>
      <c r="L61" s="32" t="s">
        <v>80</v>
      </c>
      <c r="M61" s="31">
        <f>5362</f>
        <v>5362</v>
      </c>
      <c r="N61" s="32" t="s">
        <v>915</v>
      </c>
      <c r="O61" s="31">
        <f>4570</f>
        <v>4570</v>
      </c>
      <c r="P61" s="32" t="s">
        <v>80</v>
      </c>
      <c r="Q61" s="31">
        <f>4755</f>
        <v>4755</v>
      </c>
      <c r="R61" s="32" t="s">
        <v>266</v>
      </c>
      <c r="S61" s="33">
        <f>4663</f>
        <v>4663</v>
      </c>
      <c r="T61" s="30">
        <f>1700</f>
        <v>1700</v>
      </c>
      <c r="U61" s="30" t="str">
        <f>"－"</f>
        <v>－</v>
      </c>
      <c r="V61" s="30">
        <f>8139590</f>
        <v>8139590</v>
      </c>
      <c r="W61" s="30" t="str">
        <f>"－"</f>
        <v>－</v>
      </c>
      <c r="X61" s="34">
        <f>9</f>
        <v>9</v>
      </c>
    </row>
    <row r="62" spans="1:24" x14ac:dyDescent="0.15">
      <c r="A62" s="25" t="s">
        <v>966</v>
      </c>
      <c r="B62" s="25" t="s">
        <v>215</v>
      </c>
      <c r="C62" s="25" t="s">
        <v>216</v>
      </c>
      <c r="D62" s="25" t="s">
        <v>217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1858</f>
        <v>1858</v>
      </c>
      <c r="L62" s="32" t="s">
        <v>904</v>
      </c>
      <c r="M62" s="31">
        <f>2035.5</f>
        <v>2035.5</v>
      </c>
      <c r="N62" s="32" t="s">
        <v>266</v>
      </c>
      <c r="O62" s="31">
        <f>1826</f>
        <v>1826</v>
      </c>
      <c r="P62" s="32" t="s">
        <v>810</v>
      </c>
      <c r="Q62" s="31">
        <f>1939</f>
        <v>1939</v>
      </c>
      <c r="R62" s="32" t="s">
        <v>94</v>
      </c>
      <c r="S62" s="33">
        <f>1926.13</f>
        <v>1926.13</v>
      </c>
      <c r="T62" s="30">
        <f>70540</f>
        <v>70540</v>
      </c>
      <c r="U62" s="30" t="str">
        <f>"－"</f>
        <v>－</v>
      </c>
      <c r="V62" s="30">
        <f>137342530</f>
        <v>137342530</v>
      </c>
      <c r="W62" s="30" t="str">
        <f>"－"</f>
        <v>－</v>
      </c>
      <c r="X62" s="34">
        <f>20</f>
        <v>20</v>
      </c>
    </row>
    <row r="63" spans="1:24" x14ac:dyDescent="0.15">
      <c r="A63" s="25" t="s">
        <v>966</v>
      </c>
      <c r="B63" s="25" t="s">
        <v>221</v>
      </c>
      <c r="C63" s="25" t="s">
        <v>222</v>
      </c>
      <c r="D63" s="25" t="s">
        <v>223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758</f>
        <v>758</v>
      </c>
      <c r="L63" s="32" t="s">
        <v>904</v>
      </c>
      <c r="M63" s="31">
        <f>829</f>
        <v>829</v>
      </c>
      <c r="N63" s="32" t="s">
        <v>266</v>
      </c>
      <c r="O63" s="31">
        <f>734</f>
        <v>734</v>
      </c>
      <c r="P63" s="32" t="s">
        <v>904</v>
      </c>
      <c r="Q63" s="31">
        <f>785</f>
        <v>785</v>
      </c>
      <c r="R63" s="32" t="s">
        <v>94</v>
      </c>
      <c r="S63" s="33">
        <f>784.15</f>
        <v>784.15</v>
      </c>
      <c r="T63" s="30">
        <f>53121</f>
        <v>53121</v>
      </c>
      <c r="U63" s="30" t="str">
        <f>"－"</f>
        <v>－</v>
      </c>
      <c r="V63" s="30">
        <f>41836236</f>
        <v>41836236</v>
      </c>
      <c r="W63" s="30" t="str">
        <f>"－"</f>
        <v>－</v>
      </c>
      <c r="X63" s="34">
        <f>20</f>
        <v>20</v>
      </c>
    </row>
    <row r="64" spans="1:24" x14ac:dyDescent="0.15">
      <c r="A64" s="25" t="s">
        <v>966</v>
      </c>
      <c r="B64" s="25" t="s">
        <v>224</v>
      </c>
      <c r="C64" s="25" t="s">
        <v>225</v>
      </c>
      <c r="D64" s="25" t="s">
        <v>226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1978.5</f>
        <v>1978.5</v>
      </c>
      <c r="L64" s="32" t="s">
        <v>904</v>
      </c>
      <c r="M64" s="31">
        <f>2015</f>
        <v>2015</v>
      </c>
      <c r="N64" s="32" t="s">
        <v>810</v>
      </c>
      <c r="O64" s="31">
        <f>1886.5</f>
        <v>1886.5</v>
      </c>
      <c r="P64" s="32" t="s">
        <v>266</v>
      </c>
      <c r="Q64" s="31">
        <f>1945</f>
        <v>1945</v>
      </c>
      <c r="R64" s="32" t="s">
        <v>94</v>
      </c>
      <c r="S64" s="33">
        <f>1947.45</f>
        <v>1947.45</v>
      </c>
      <c r="T64" s="30">
        <f>370150</f>
        <v>370150</v>
      </c>
      <c r="U64" s="30">
        <f>38700</f>
        <v>38700</v>
      </c>
      <c r="V64" s="30">
        <f>714620715</f>
        <v>714620715</v>
      </c>
      <c r="W64" s="30">
        <f>74972985</f>
        <v>74972985</v>
      </c>
      <c r="X64" s="34">
        <f>20</f>
        <v>20</v>
      </c>
    </row>
    <row r="65" spans="1:24" x14ac:dyDescent="0.15">
      <c r="A65" s="25" t="s">
        <v>966</v>
      </c>
      <c r="B65" s="25" t="s">
        <v>227</v>
      </c>
      <c r="C65" s="25" t="s">
        <v>228</v>
      </c>
      <c r="D65" s="25" t="s">
        <v>229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17835</f>
        <v>17835</v>
      </c>
      <c r="L65" s="32" t="s">
        <v>904</v>
      </c>
      <c r="M65" s="31">
        <f>18075</f>
        <v>18075</v>
      </c>
      <c r="N65" s="32" t="s">
        <v>810</v>
      </c>
      <c r="O65" s="31">
        <f>17060</f>
        <v>17060</v>
      </c>
      <c r="P65" s="32" t="s">
        <v>266</v>
      </c>
      <c r="Q65" s="31">
        <f>17375</f>
        <v>17375</v>
      </c>
      <c r="R65" s="32" t="s">
        <v>94</v>
      </c>
      <c r="S65" s="33">
        <f>17453</f>
        <v>17453</v>
      </c>
      <c r="T65" s="30">
        <f>326</f>
        <v>326</v>
      </c>
      <c r="U65" s="30" t="str">
        <f>"－"</f>
        <v>－</v>
      </c>
      <c r="V65" s="30">
        <f>5661755</f>
        <v>5661755</v>
      </c>
      <c r="W65" s="30" t="str">
        <f>"－"</f>
        <v>－</v>
      </c>
      <c r="X65" s="34">
        <f>20</f>
        <v>20</v>
      </c>
    </row>
    <row r="66" spans="1:24" x14ac:dyDescent="0.15">
      <c r="A66" s="25" t="s">
        <v>966</v>
      </c>
      <c r="B66" s="25" t="s">
        <v>230</v>
      </c>
      <c r="C66" s="25" t="s">
        <v>231</v>
      </c>
      <c r="D66" s="25" t="s">
        <v>232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1988</f>
        <v>1988</v>
      </c>
      <c r="L66" s="32" t="s">
        <v>904</v>
      </c>
      <c r="M66" s="31">
        <f>2030</f>
        <v>2030</v>
      </c>
      <c r="N66" s="32" t="s">
        <v>810</v>
      </c>
      <c r="O66" s="31">
        <f>1896</f>
        <v>1896</v>
      </c>
      <c r="P66" s="32" t="s">
        <v>266</v>
      </c>
      <c r="Q66" s="31">
        <f>1955</f>
        <v>1955</v>
      </c>
      <c r="R66" s="32" t="s">
        <v>94</v>
      </c>
      <c r="S66" s="33">
        <f>1959.25</f>
        <v>1959.25</v>
      </c>
      <c r="T66" s="30">
        <f>3483256</f>
        <v>3483256</v>
      </c>
      <c r="U66" s="30">
        <f>155561</f>
        <v>155561</v>
      </c>
      <c r="V66" s="30">
        <f>6788311562</f>
        <v>6788311562</v>
      </c>
      <c r="W66" s="30">
        <f>298906034</f>
        <v>298906034</v>
      </c>
      <c r="X66" s="34">
        <f>20</f>
        <v>20</v>
      </c>
    </row>
    <row r="67" spans="1:24" x14ac:dyDescent="0.15">
      <c r="A67" s="25" t="s">
        <v>966</v>
      </c>
      <c r="B67" s="25" t="s">
        <v>233</v>
      </c>
      <c r="C67" s="25" t="s">
        <v>234</v>
      </c>
      <c r="D67" s="25" t="s">
        <v>235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2070</f>
        <v>2070</v>
      </c>
      <c r="L67" s="32" t="s">
        <v>904</v>
      </c>
      <c r="M67" s="31">
        <f>2120</f>
        <v>2120</v>
      </c>
      <c r="N67" s="32" t="s">
        <v>811</v>
      </c>
      <c r="O67" s="31">
        <f>2024</f>
        <v>2024</v>
      </c>
      <c r="P67" s="32" t="s">
        <v>87</v>
      </c>
      <c r="Q67" s="31">
        <f>2053</f>
        <v>2053</v>
      </c>
      <c r="R67" s="32" t="s">
        <v>94</v>
      </c>
      <c r="S67" s="33">
        <f>2062.3</f>
        <v>2062.3000000000002</v>
      </c>
      <c r="T67" s="30">
        <f>7290790</f>
        <v>7290790</v>
      </c>
      <c r="U67" s="30">
        <f>3440174</f>
        <v>3440174</v>
      </c>
      <c r="V67" s="30">
        <f>15118512160</f>
        <v>15118512160</v>
      </c>
      <c r="W67" s="30">
        <f>7176562506</f>
        <v>7176562506</v>
      </c>
      <c r="X67" s="34">
        <f>20</f>
        <v>20</v>
      </c>
    </row>
    <row r="68" spans="1:24" x14ac:dyDescent="0.15">
      <c r="A68" s="25" t="s">
        <v>966</v>
      </c>
      <c r="B68" s="25" t="s">
        <v>236</v>
      </c>
      <c r="C68" s="25" t="s">
        <v>237</v>
      </c>
      <c r="D68" s="25" t="s">
        <v>238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1860</f>
        <v>1860</v>
      </c>
      <c r="L68" s="32" t="s">
        <v>904</v>
      </c>
      <c r="M68" s="31">
        <f>1883</f>
        <v>1883</v>
      </c>
      <c r="N68" s="32" t="s">
        <v>810</v>
      </c>
      <c r="O68" s="31">
        <f>1802</f>
        <v>1802</v>
      </c>
      <c r="P68" s="32" t="s">
        <v>266</v>
      </c>
      <c r="Q68" s="31">
        <f>1840</f>
        <v>1840</v>
      </c>
      <c r="R68" s="32" t="s">
        <v>94</v>
      </c>
      <c r="S68" s="33">
        <f>1838.9</f>
        <v>1838.9</v>
      </c>
      <c r="T68" s="30">
        <f>8950</f>
        <v>8950</v>
      </c>
      <c r="U68" s="30">
        <f>4</f>
        <v>4</v>
      </c>
      <c r="V68" s="30">
        <f>16326524</f>
        <v>16326524</v>
      </c>
      <c r="W68" s="30">
        <f>7415</f>
        <v>7415</v>
      </c>
      <c r="X68" s="34">
        <f>20</f>
        <v>20</v>
      </c>
    </row>
    <row r="69" spans="1:24" x14ac:dyDescent="0.15">
      <c r="A69" s="25" t="s">
        <v>966</v>
      </c>
      <c r="B69" s="25" t="s">
        <v>239</v>
      </c>
      <c r="C69" s="25" t="s">
        <v>240</v>
      </c>
      <c r="D69" s="25" t="s">
        <v>241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2359</f>
        <v>2359</v>
      </c>
      <c r="L69" s="32" t="s">
        <v>904</v>
      </c>
      <c r="M69" s="31">
        <f>2381</f>
        <v>2381</v>
      </c>
      <c r="N69" s="32" t="s">
        <v>811</v>
      </c>
      <c r="O69" s="31">
        <f>2271</f>
        <v>2271</v>
      </c>
      <c r="P69" s="32" t="s">
        <v>70</v>
      </c>
      <c r="Q69" s="31">
        <f>2360</f>
        <v>2360</v>
      </c>
      <c r="R69" s="32" t="s">
        <v>94</v>
      </c>
      <c r="S69" s="33">
        <f>2328.4</f>
        <v>2328.4</v>
      </c>
      <c r="T69" s="30">
        <f>3917583</f>
        <v>3917583</v>
      </c>
      <c r="U69" s="30">
        <f>3682400</f>
        <v>3682400</v>
      </c>
      <c r="V69" s="30">
        <f>8928438863</f>
        <v>8928438863</v>
      </c>
      <c r="W69" s="30">
        <f>8384246579</f>
        <v>8384246579</v>
      </c>
      <c r="X69" s="34">
        <f>20</f>
        <v>20</v>
      </c>
    </row>
    <row r="70" spans="1:24" x14ac:dyDescent="0.15">
      <c r="A70" s="25" t="s">
        <v>966</v>
      </c>
      <c r="B70" s="25" t="s">
        <v>242</v>
      </c>
      <c r="C70" s="25" t="s">
        <v>243</v>
      </c>
      <c r="D70" s="25" t="s">
        <v>244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24350</f>
        <v>24350</v>
      </c>
      <c r="L70" s="32" t="s">
        <v>904</v>
      </c>
      <c r="M70" s="31">
        <f>24560</f>
        <v>24560</v>
      </c>
      <c r="N70" s="32" t="s">
        <v>904</v>
      </c>
      <c r="O70" s="31">
        <f>23440</f>
        <v>23440</v>
      </c>
      <c r="P70" s="32" t="s">
        <v>813</v>
      </c>
      <c r="Q70" s="31">
        <f>23700</f>
        <v>23700</v>
      </c>
      <c r="R70" s="32" t="s">
        <v>815</v>
      </c>
      <c r="S70" s="33">
        <f>23950</f>
        <v>23950</v>
      </c>
      <c r="T70" s="30">
        <f>141</f>
        <v>141</v>
      </c>
      <c r="U70" s="30" t="str">
        <f>"－"</f>
        <v>－</v>
      </c>
      <c r="V70" s="30">
        <f>3407140</f>
        <v>3407140</v>
      </c>
      <c r="W70" s="30" t="str">
        <f>"－"</f>
        <v>－</v>
      </c>
      <c r="X70" s="34">
        <f>10</f>
        <v>10</v>
      </c>
    </row>
    <row r="71" spans="1:24" x14ac:dyDescent="0.15">
      <c r="A71" s="25" t="s">
        <v>966</v>
      </c>
      <c r="B71" s="25" t="s">
        <v>245</v>
      </c>
      <c r="C71" s="25" t="s">
        <v>246</v>
      </c>
      <c r="D71" s="25" t="s">
        <v>247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19660</f>
        <v>19660</v>
      </c>
      <c r="L71" s="32" t="s">
        <v>904</v>
      </c>
      <c r="M71" s="31">
        <f>20020</f>
        <v>20020</v>
      </c>
      <c r="N71" s="32" t="s">
        <v>810</v>
      </c>
      <c r="O71" s="31">
        <f>18750</f>
        <v>18750</v>
      </c>
      <c r="P71" s="32" t="s">
        <v>266</v>
      </c>
      <c r="Q71" s="31">
        <f>18750</f>
        <v>18750</v>
      </c>
      <c r="R71" s="32" t="s">
        <v>266</v>
      </c>
      <c r="S71" s="33">
        <f>19346.36</f>
        <v>19346.36</v>
      </c>
      <c r="T71" s="30">
        <f>225</f>
        <v>225</v>
      </c>
      <c r="U71" s="30" t="str">
        <f>"－"</f>
        <v>－</v>
      </c>
      <c r="V71" s="30">
        <f>4309760</f>
        <v>4309760</v>
      </c>
      <c r="W71" s="30" t="str">
        <f>"－"</f>
        <v>－</v>
      </c>
      <c r="X71" s="34">
        <f>11</f>
        <v>11</v>
      </c>
    </row>
    <row r="72" spans="1:24" x14ac:dyDescent="0.15">
      <c r="A72" s="25" t="s">
        <v>966</v>
      </c>
      <c r="B72" s="25" t="s">
        <v>248</v>
      </c>
      <c r="C72" s="25" t="s">
        <v>249</v>
      </c>
      <c r="D72" s="25" t="s">
        <v>250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2020</f>
        <v>2020</v>
      </c>
      <c r="L72" s="32" t="s">
        <v>904</v>
      </c>
      <c r="M72" s="31">
        <f>2046</f>
        <v>2046</v>
      </c>
      <c r="N72" s="32" t="s">
        <v>810</v>
      </c>
      <c r="O72" s="31">
        <f>1935</f>
        <v>1935</v>
      </c>
      <c r="P72" s="32" t="s">
        <v>266</v>
      </c>
      <c r="Q72" s="31">
        <f>1975</f>
        <v>1975</v>
      </c>
      <c r="R72" s="32" t="s">
        <v>94</v>
      </c>
      <c r="S72" s="33">
        <f>1988.26</f>
        <v>1988.26</v>
      </c>
      <c r="T72" s="30">
        <f>1330</f>
        <v>1330</v>
      </c>
      <c r="U72" s="30" t="str">
        <f>"－"</f>
        <v>－</v>
      </c>
      <c r="V72" s="30">
        <f>2655762</f>
        <v>2655762</v>
      </c>
      <c r="W72" s="30" t="str">
        <f>"－"</f>
        <v>－</v>
      </c>
      <c r="X72" s="34">
        <f>19</f>
        <v>19</v>
      </c>
    </row>
    <row r="73" spans="1:24" x14ac:dyDescent="0.15">
      <c r="A73" s="25" t="s">
        <v>966</v>
      </c>
      <c r="B73" s="25" t="s">
        <v>251</v>
      </c>
      <c r="C73" s="25" t="s">
        <v>252</v>
      </c>
      <c r="D73" s="25" t="s">
        <v>253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2172</f>
        <v>2172</v>
      </c>
      <c r="L73" s="32" t="s">
        <v>904</v>
      </c>
      <c r="M73" s="31">
        <f>2172</f>
        <v>2172</v>
      </c>
      <c r="N73" s="32" t="s">
        <v>904</v>
      </c>
      <c r="O73" s="31">
        <f>2056</f>
        <v>2056</v>
      </c>
      <c r="P73" s="32" t="s">
        <v>908</v>
      </c>
      <c r="Q73" s="31">
        <f>2083</f>
        <v>2083</v>
      </c>
      <c r="R73" s="32" t="s">
        <v>94</v>
      </c>
      <c r="S73" s="33">
        <f>2100.75</f>
        <v>2100.75</v>
      </c>
      <c r="T73" s="30">
        <f>5770257</f>
        <v>5770257</v>
      </c>
      <c r="U73" s="30">
        <f>4045335</f>
        <v>4045335</v>
      </c>
      <c r="V73" s="30">
        <f>12057234817</f>
        <v>12057234817</v>
      </c>
      <c r="W73" s="30">
        <f>8440142170</f>
        <v>8440142170</v>
      </c>
      <c r="X73" s="34">
        <f>20</f>
        <v>20</v>
      </c>
    </row>
    <row r="74" spans="1:24" x14ac:dyDescent="0.15">
      <c r="A74" s="25" t="s">
        <v>966</v>
      </c>
      <c r="B74" s="25" t="s">
        <v>254</v>
      </c>
      <c r="C74" s="25" t="s">
        <v>255</v>
      </c>
      <c r="D74" s="25" t="s">
        <v>256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2122</f>
        <v>2122</v>
      </c>
      <c r="L74" s="32" t="s">
        <v>904</v>
      </c>
      <c r="M74" s="31">
        <f>2180</f>
        <v>2180</v>
      </c>
      <c r="N74" s="32" t="s">
        <v>810</v>
      </c>
      <c r="O74" s="31">
        <f>1982</f>
        <v>1982</v>
      </c>
      <c r="P74" s="32" t="s">
        <v>813</v>
      </c>
      <c r="Q74" s="31">
        <f>2016</f>
        <v>2016</v>
      </c>
      <c r="R74" s="32" t="s">
        <v>94</v>
      </c>
      <c r="S74" s="33">
        <f>2052.8</f>
        <v>2052.8000000000002</v>
      </c>
      <c r="T74" s="30">
        <f>647</f>
        <v>647</v>
      </c>
      <c r="U74" s="30" t="str">
        <f>"－"</f>
        <v>－</v>
      </c>
      <c r="V74" s="30">
        <f>1328702</f>
        <v>1328702</v>
      </c>
      <c r="W74" s="30" t="str">
        <f>"－"</f>
        <v>－</v>
      </c>
      <c r="X74" s="34">
        <f>20</f>
        <v>20</v>
      </c>
    </row>
    <row r="75" spans="1:24" x14ac:dyDescent="0.15">
      <c r="A75" s="25" t="s">
        <v>966</v>
      </c>
      <c r="B75" s="25" t="s">
        <v>257</v>
      </c>
      <c r="C75" s="25" t="s">
        <v>258</v>
      </c>
      <c r="D75" s="25" t="s">
        <v>259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10</v>
      </c>
      <c r="K75" s="31">
        <f>2002.5</f>
        <v>2002.5</v>
      </c>
      <c r="L75" s="32" t="s">
        <v>904</v>
      </c>
      <c r="M75" s="31">
        <f>2020.5</f>
        <v>2020.5</v>
      </c>
      <c r="N75" s="32" t="s">
        <v>810</v>
      </c>
      <c r="O75" s="31">
        <f>1919</f>
        <v>1919</v>
      </c>
      <c r="P75" s="32" t="s">
        <v>266</v>
      </c>
      <c r="Q75" s="31">
        <f>1950</f>
        <v>1950</v>
      </c>
      <c r="R75" s="32" t="s">
        <v>94</v>
      </c>
      <c r="S75" s="33">
        <f>1963.05</f>
        <v>1963.05</v>
      </c>
      <c r="T75" s="30">
        <f>2070</f>
        <v>2070</v>
      </c>
      <c r="U75" s="30" t="str">
        <f>"－"</f>
        <v>－</v>
      </c>
      <c r="V75" s="30">
        <f>4051475</f>
        <v>4051475</v>
      </c>
      <c r="W75" s="30" t="str">
        <f>"－"</f>
        <v>－</v>
      </c>
      <c r="X75" s="34">
        <f>20</f>
        <v>20</v>
      </c>
    </row>
    <row r="76" spans="1:24" x14ac:dyDescent="0.15">
      <c r="A76" s="25" t="s">
        <v>966</v>
      </c>
      <c r="B76" s="25" t="s">
        <v>260</v>
      </c>
      <c r="C76" s="25" t="s">
        <v>261</v>
      </c>
      <c r="D76" s="25" t="s">
        <v>262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29600</f>
        <v>29600</v>
      </c>
      <c r="L76" s="32" t="s">
        <v>94</v>
      </c>
      <c r="M76" s="31">
        <f>29600</f>
        <v>29600</v>
      </c>
      <c r="N76" s="32" t="s">
        <v>94</v>
      </c>
      <c r="O76" s="31">
        <f>29600</f>
        <v>29600</v>
      </c>
      <c r="P76" s="32" t="s">
        <v>94</v>
      </c>
      <c r="Q76" s="31">
        <f>29600</f>
        <v>29600</v>
      </c>
      <c r="R76" s="32" t="s">
        <v>94</v>
      </c>
      <c r="S76" s="33">
        <f>29600</f>
        <v>29600</v>
      </c>
      <c r="T76" s="30">
        <f>1</f>
        <v>1</v>
      </c>
      <c r="U76" s="30" t="str">
        <f>"－"</f>
        <v>－</v>
      </c>
      <c r="V76" s="30">
        <f>29600</f>
        <v>29600</v>
      </c>
      <c r="W76" s="30" t="str">
        <f>"－"</f>
        <v>－</v>
      </c>
      <c r="X76" s="34">
        <f>1</f>
        <v>1</v>
      </c>
    </row>
    <row r="77" spans="1:24" x14ac:dyDescent="0.15">
      <c r="A77" s="25" t="s">
        <v>966</v>
      </c>
      <c r="B77" s="25" t="s">
        <v>263</v>
      </c>
      <c r="C77" s="25" t="s">
        <v>264</v>
      </c>
      <c r="D77" s="25" t="s">
        <v>265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21825</f>
        <v>21825</v>
      </c>
      <c r="L77" s="32" t="s">
        <v>904</v>
      </c>
      <c r="M77" s="31">
        <f>22455</f>
        <v>22455</v>
      </c>
      <c r="N77" s="32" t="s">
        <v>94</v>
      </c>
      <c r="O77" s="31">
        <f>21565</f>
        <v>21565</v>
      </c>
      <c r="P77" s="32" t="s">
        <v>821</v>
      </c>
      <c r="Q77" s="31">
        <f>22455</f>
        <v>22455</v>
      </c>
      <c r="R77" s="32" t="s">
        <v>94</v>
      </c>
      <c r="S77" s="33">
        <f>21872</f>
        <v>21872</v>
      </c>
      <c r="T77" s="30">
        <f>166098</f>
        <v>166098</v>
      </c>
      <c r="U77" s="30">
        <f>122340</f>
        <v>122340</v>
      </c>
      <c r="V77" s="30">
        <f>3675789276</f>
        <v>3675789276</v>
      </c>
      <c r="W77" s="30">
        <f>2720947636</f>
        <v>2720947636</v>
      </c>
      <c r="X77" s="34">
        <f>20</f>
        <v>20</v>
      </c>
    </row>
    <row r="78" spans="1:24" x14ac:dyDescent="0.15">
      <c r="A78" s="25" t="s">
        <v>966</v>
      </c>
      <c r="B78" s="25" t="s">
        <v>267</v>
      </c>
      <c r="C78" s="25" t="s">
        <v>268</v>
      </c>
      <c r="D78" s="25" t="s">
        <v>269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16865</f>
        <v>16865</v>
      </c>
      <c r="L78" s="32" t="s">
        <v>904</v>
      </c>
      <c r="M78" s="31">
        <f>16865</f>
        <v>16865</v>
      </c>
      <c r="N78" s="32" t="s">
        <v>904</v>
      </c>
      <c r="O78" s="31">
        <f>15985</f>
        <v>15985</v>
      </c>
      <c r="P78" s="32" t="s">
        <v>908</v>
      </c>
      <c r="Q78" s="31">
        <f>16200</f>
        <v>16200</v>
      </c>
      <c r="R78" s="32" t="s">
        <v>94</v>
      </c>
      <c r="S78" s="33">
        <f>16325.75</f>
        <v>16325.75</v>
      </c>
      <c r="T78" s="30">
        <f>208849</f>
        <v>208849</v>
      </c>
      <c r="U78" s="30">
        <f>97604</f>
        <v>97604</v>
      </c>
      <c r="V78" s="30">
        <f>3416065084</f>
        <v>3416065084</v>
      </c>
      <c r="W78" s="30">
        <f>1587673419</f>
        <v>1587673419</v>
      </c>
      <c r="X78" s="34">
        <f>20</f>
        <v>20</v>
      </c>
    </row>
    <row r="79" spans="1:24" x14ac:dyDescent="0.15">
      <c r="A79" s="25" t="s">
        <v>966</v>
      </c>
      <c r="B79" s="25" t="s">
        <v>270</v>
      </c>
      <c r="C79" s="25" t="s">
        <v>271</v>
      </c>
      <c r="D79" s="25" t="s">
        <v>272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10</v>
      </c>
      <c r="K79" s="31">
        <f>2060.5</f>
        <v>2060.5</v>
      </c>
      <c r="L79" s="32" t="s">
        <v>904</v>
      </c>
      <c r="M79" s="31">
        <f>2111</f>
        <v>2111</v>
      </c>
      <c r="N79" s="32" t="s">
        <v>811</v>
      </c>
      <c r="O79" s="31">
        <f>2015.5</f>
        <v>2015.5</v>
      </c>
      <c r="P79" s="32" t="s">
        <v>87</v>
      </c>
      <c r="Q79" s="31">
        <f>2041.5</f>
        <v>2041.5</v>
      </c>
      <c r="R79" s="32" t="s">
        <v>94</v>
      </c>
      <c r="S79" s="33">
        <f>2049.8</f>
        <v>2049.8000000000002</v>
      </c>
      <c r="T79" s="30">
        <f>1332800</f>
        <v>1332800</v>
      </c>
      <c r="U79" s="30">
        <f>169540</f>
        <v>169540</v>
      </c>
      <c r="V79" s="30">
        <f>2735051657</f>
        <v>2735051657</v>
      </c>
      <c r="W79" s="30">
        <f>346679992</f>
        <v>346679992</v>
      </c>
      <c r="X79" s="34">
        <f>20</f>
        <v>20</v>
      </c>
    </row>
    <row r="80" spans="1:24" x14ac:dyDescent="0.15">
      <c r="A80" s="25" t="s">
        <v>966</v>
      </c>
      <c r="B80" s="25" t="s">
        <v>273</v>
      </c>
      <c r="C80" s="25" t="s">
        <v>274</v>
      </c>
      <c r="D80" s="25" t="s">
        <v>275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40820</f>
        <v>40820</v>
      </c>
      <c r="L80" s="32" t="s">
        <v>904</v>
      </c>
      <c r="M80" s="31">
        <f>41440</f>
        <v>41440</v>
      </c>
      <c r="N80" s="32" t="s">
        <v>810</v>
      </c>
      <c r="O80" s="31">
        <f>38530</f>
        <v>38530</v>
      </c>
      <c r="P80" s="32" t="s">
        <v>70</v>
      </c>
      <c r="Q80" s="31">
        <f>39990</f>
        <v>39990</v>
      </c>
      <c r="R80" s="32" t="s">
        <v>94</v>
      </c>
      <c r="S80" s="33">
        <f>39888.5</f>
        <v>39888.5</v>
      </c>
      <c r="T80" s="30">
        <f>79814</f>
        <v>79814</v>
      </c>
      <c r="U80" s="30">
        <f>2428</f>
        <v>2428</v>
      </c>
      <c r="V80" s="30">
        <f>3183501904</f>
        <v>3183501904</v>
      </c>
      <c r="W80" s="30">
        <f>95759084</f>
        <v>95759084</v>
      </c>
      <c r="X80" s="34">
        <f>20</f>
        <v>20</v>
      </c>
    </row>
    <row r="81" spans="1:24" x14ac:dyDescent="0.15">
      <c r="A81" s="25" t="s">
        <v>966</v>
      </c>
      <c r="B81" s="25" t="s">
        <v>276</v>
      </c>
      <c r="C81" s="25" t="s">
        <v>277</v>
      </c>
      <c r="D81" s="25" t="s">
        <v>278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 t="str">
        <f>"－"</f>
        <v>－</v>
      </c>
      <c r="L81" s="32"/>
      <c r="M81" s="31" t="str">
        <f>"－"</f>
        <v>－</v>
      </c>
      <c r="N81" s="32"/>
      <c r="O81" s="31" t="str">
        <f>"－"</f>
        <v>－</v>
      </c>
      <c r="P81" s="32"/>
      <c r="Q81" s="31" t="str">
        <f>"－"</f>
        <v>－</v>
      </c>
      <c r="R81" s="32"/>
      <c r="S81" s="33" t="str">
        <f t="shared" ref="S81:X81" si="2">"－"</f>
        <v>－</v>
      </c>
      <c r="T81" s="30" t="str">
        <f t="shared" si="2"/>
        <v>－</v>
      </c>
      <c r="U81" s="30" t="str">
        <f t="shared" si="2"/>
        <v>－</v>
      </c>
      <c r="V81" s="30" t="str">
        <f t="shared" si="2"/>
        <v>－</v>
      </c>
      <c r="W81" s="30" t="str">
        <f t="shared" si="2"/>
        <v>－</v>
      </c>
      <c r="X81" s="34" t="str">
        <f t="shared" si="2"/>
        <v>－</v>
      </c>
    </row>
    <row r="82" spans="1:24" x14ac:dyDescent="0.15">
      <c r="A82" s="25" t="s">
        <v>966</v>
      </c>
      <c r="B82" s="25" t="s">
        <v>279</v>
      </c>
      <c r="C82" s="25" t="s">
        <v>280</v>
      </c>
      <c r="D82" s="25" t="s">
        <v>281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15665</f>
        <v>15665</v>
      </c>
      <c r="L82" s="32" t="s">
        <v>904</v>
      </c>
      <c r="M82" s="31">
        <f>16035</f>
        <v>16035</v>
      </c>
      <c r="N82" s="32" t="s">
        <v>810</v>
      </c>
      <c r="O82" s="31">
        <f>14850</f>
        <v>14850</v>
      </c>
      <c r="P82" s="32" t="s">
        <v>266</v>
      </c>
      <c r="Q82" s="31">
        <f>15100</f>
        <v>15100</v>
      </c>
      <c r="R82" s="32" t="s">
        <v>94</v>
      </c>
      <c r="S82" s="33">
        <f>15402.75</f>
        <v>15402.75</v>
      </c>
      <c r="T82" s="30">
        <f>510</f>
        <v>510</v>
      </c>
      <c r="U82" s="30" t="str">
        <f>"－"</f>
        <v>－</v>
      </c>
      <c r="V82" s="30">
        <f>7860110</f>
        <v>7860110</v>
      </c>
      <c r="W82" s="30" t="str">
        <f>"－"</f>
        <v>－</v>
      </c>
      <c r="X82" s="34">
        <f>20</f>
        <v>20</v>
      </c>
    </row>
    <row r="83" spans="1:24" x14ac:dyDescent="0.15">
      <c r="A83" s="25" t="s">
        <v>966</v>
      </c>
      <c r="B83" s="25" t="s">
        <v>282</v>
      </c>
      <c r="C83" s="25" t="s">
        <v>283</v>
      </c>
      <c r="D83" s="25" t="s">
        <v>284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15430</f>
        <v>15430</v>
      </c>
      <c r="L83" s="32" t="s">
        <v>904</v>
      </c>
      <c r="M83" s="31">
        <f>15925</f>
        <v>15925</v>
      </c>
      <c r="N83" s="32" t="s">
        <v>810</v>
      </c>
      <c r="O83" s="31">
        <f>14645</f>
        <v>14645</v>
      </c>
      <c r="P83" s="32" t="s">
        <v>266</v>
      </c>
      <c r="Q83" s="31">
        <f>15155</f>
        <v>15155</v>
      </c>
      <c r="R83" s="32" t="s">
        <v>94</v>
      </c>
      <c r="S83" s="33">
        <f>15259.5</f>
        <v>15259.5</v>
      </c>
      <c r="T83" s="30">
        <f>825</f>
        <v>825</v>
      </c>
      <c r="U83" s="30" t="str">
        <f>"－"</f>
        <v>－</v>
      </c>
      <c r="V83" s="30">
        <f>12555490</f>
        <v>12555490</v>
      </c>
      <c r="W83" s="30" t="str">
        <f>"－"</f>
        <v>－</v>
      </c>
      <c r="X83" s="34">
        <f>20</f>
        <v>20</v>
      </c>
    </row>
    <row r="84" spans="1:24" x14ac:dyDescent="0.15">
      <c r="A84" s="25" t="s">
        <v>966</v>
      </c>
      <c r="B84" s="25" t="s">
        <v>285</v>
      </c>
      <c r="C84" s="25" t="s">
        <v>286</v>
      </c>
      <c r="D84" s="25" t="s">
        <v>287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19655</f>
        <v>19655</v>
      </c>
      <c r="L84" s="32" t="s">
        <v>904</v>
      </c>
      <c r="M84" s="31">
        <f>20135</f>
        <v>20135</v>
      </c>
      <c r="N84" s="32" t="s">
        <v>80</v>
      </c>
      <c r="O84" s="31">
        <f>18830</f>
        <v>18830</v>
      </c>
      <c r="P84" s="32" t="s">
        <v>70</v>
      </c>
      <c r="Q84" s="31">
        <f>19450</f>
        <v>19450</v>
      </c>
      <c r="R84" s="32" t="s">
        <v>94</v>
      </c>
      <c r="S84" s="33">
        <f>19358.5</f>
        <v>19358.5</v>
      </c>
      <c r="T84" s="30">
        <f>17398</f>
        <v>17398</v>
      </c>
      <c r="U84" s="30" t="str">
        <f>"－"</f>
        <v>－</v>
      </c>
      <c r="V84" s="30">
        <f>341777720</f>
        <v>341777720</v>
      </c>
      <c r="W84" s="30" t="str">
        <f>"－"</f>
        <v>－</v>
      </c>
      <c r="X84" s="34">
        <f>20</f>
        <v>20</v>
      </c>
    </row>
    <row r="85" spans="1:24" x14ac:dyDescent="0.15">
      <c r="A85" s="25" t="s">
        <v>966</v>
      </c>
      <c r="B85" s="25" t="s">
        <v>288</v>
      </c>
      <c r="C85" s="25" t="s">
        <v>289</v>
      </c>
      <c r="D85" s="25" t="s">
        <v>290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10920</f>
        <v>10920</v>
      </c>
      <c r="L85" s="32" t="s">
        <v>904</v>
      </c>
      <c r="M85" s="31">
        <f>11500</f>
        <v>11500</v>
      </c>
      <c r="N85" s="32" t="s">
        <v>815</v>
      </c>
      <c r="O85" s="31">
        <f>10880</f>
        <v>10880</v>
      </c>
      <c r="P85" s="32" t="s">
        <v>904</v>
      </c>
      <c r="Q85" s="31">
        <f>11500</f>
        <v>11500</v>
      </c>
      <c r="R85" s="32" t="s">
        <v>94</v>
      </c>
      <c r="S85" s="33">
        <f>11207.75</f>
        <v>11207.75</v>
      </c>
      <c r="T85" s="30">
        <f>18100</f>
        <v>18100</v>
      </c>
      <c r="U85" s="30">
        <f>10010</f>
        <v>10010</v>
      </c>
      <c r="V85" s="30">
        <f>203759050</f>
        <v>203759050</v>
      </c>
      <c r="W85" s="30">
        <f>112712000</f>
        <v>112712000</v>
      </c>
      <c r="X85" s="34">
        <f>20</f>
        <v>20</v>
      </c>
    </row>
    <row r="86" spans="1:24" x14ac:dyDescent="0.15">
      <c r="A86" s="25" t="s">
        <v>966</v>
      </c>
      <c r="B86" s="25" t="s">
        <v>291</v>
      </c>
      <c r="C86" s="25" t="s">
        <v>292</v>
      </c>
      <c r="D86" s="25" t="s">
        <v>293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2348</f>
        <v>2348</v>
      </c>
      <c r="L86" s="32" t="s">
        <v>904</v>
      </c>
      <c r="M86" s="31">
        <f>2355</f>
        <v>2355</v>
      </c>
      <c r="N86" s="32" t="s">
        <v>810</v>
      </c>
      <c r="O86" s="31">
        <f>2114</f>
        <v>2114</v>
      </c>
      <c r="P86" s="32" t="s">
        <v>816</v>
      </c>
      <c r="Q86" s="31">
        <f>2180</f>
        <v>2180</v>
      </c>
      <c r="R86" s="32" t="s">
        <v>94</v>
      </c>
      <c r="S86" s="33">
        <f>2236.4</f>
        <v>2236.4</v>
      </c>
      <c r="T86" s="30">
        <f>366389</f>
        <v>366389</v>
      </c>
      <c r="U86" s="30">
        <f>67663</f>
        <v>67663</v>
      </c>
      <c r="V86" s="30">
        <f>829714390</f>
        <v>829714390</v>
      </c>
      <c r="W86" s="30">
        <f>154927971</f>
        <v>154927971</v>
      </c>
      <c r="X86" s="34">
        <f>20</f>
        <v>20</v>
      </c>
    </row>
    <row r="87" spans="1:24" x14ac:dyDescent="0.15">
      <c r="A87" s="25" t="s">
        <v>966</v>
      </c>
      <c r="B87" s="25" t="s">
        <v>294</v>
      </c>
      <c r="C87" s="25" t="s">
        <v>295</v>
      </c>
      <c r="D87" s="25" t="s">
        <v>296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2236</f>
        <v>2236</v>
      </c>
      <c r="L87" s="32" t="s">
        <v>904</v>
      </c>
      <c r="M87" s="31">
        <f>2243</f>
        <v>2243</v>
      </c>
      <c r="N87" s="32" t="s">
        <v>810</v>
      </c>
      <c r="O87" s="31">
        <f>2121</f>
        <v>2121</v>
      </c>
      <c r="P87" s="32" t="s">
        <v>815</v>
      </c>
      <c r="Q87" s="31">
        <f>2128</f>
        <v>2128</v>
      </c>
      <c r="R87" s="32" t="s">
        <v>94</v>
      </c>
      <c r="S87" s="33">
        <f>2164.75</f>
        <v>2164.75</v>
      </c>
      <c r="T87" s="30">
        <f>179663</f>
        <v>179663</v>
      </c>
      <c r="U87" s="30" t="str">
        <f>"－"</f>
        <v>－</v>
      </c>
      <c r="V87" s="30">
        <f>389459170</f>
        <v>389459170</v>
      </c>
      <c r="W87" s="30" t="str">
        <f>"－"</f>
        <v>－</v>
      </c>
      <c r="X87" s="34">
        <f>20</f>
        <v>20</v>
      </c>
    </row>
    <row r="88" spans="1:24" x14ac:dyDescent="0.15">
      <c r="A88" s="25" t="s">
        <v>966</v>
      </c>
      <c r="B88" s="25" t="s">
        <v>297</v>
      </c>
      <c r="C88" s="25" t="s">
        <v>298</v>
      </c>
      <c r="D88" s="25" t="s">
        <v>299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14920</f>
        <v>14920</v>
      </c>
      <c r="L88" s="32" t="s">
        <v>904</v>
      </c>
      <c r="M88" s="31">
        <f>14995</f>
        <v>14995</v>
      </c>
      <c r="N88" s="32" t="s">
        <v>811</v>
      </c>
      <c r="O88" s="31">
        <f>14235</f>
        <v>14235</v>
      </c>
      <c r="P88" s="32" t="s">
        <v>266</v>
      </c>
      <c r="Q88" s="31">
        <f>14660</f>
        <v>14660</v>
      </c>
      <c r="R88" s="32" t="s">
        <v>94</v>
      </c>
      <c r="S88" s="33">
        <f>14642</f>
        <v>14642</v>
      </c>
      <c r="T88" s="30">
        <f>3158</f>
        <v>3158</v>
      </c>
      <c r="U88" s="30" t="str">
        <f>"－"</f>
        <v>－</v>
      </c>
      <c r="V88" s="30">
        <f>46789565</f>
        <v>46789565</v>
      </c>
      <c r="W88" s="30" t="str">
        <f>"－"</f>
        <v>－</v>
      </c>
      <c r="X88" s="34">
        <f>20</f>
        <v>20</v>
      </c>
    </row>
    <row r="89" spans="1:24" x14ac:dyDescent="0.15">
      <c r="A89" s="25" t="s">
        <v>966</v>
      </c>
      <c r="B89" s="25" t="s">
        <v>300</v>
      </c>
      <c r="C89" s="25" t="s">
        <v>301</v>
      </c>
      <c r="D89" s="25" t="s">
        <v>302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8886</f>
        <v>8886</v>
      </c>
      <c r="L89" s="32" t="s">
        <v>904</v>
      </c>
      <c r="M89" s="31">
        <f>8941</f>
        <v>8941</v>
      </c>
      <c r="N89" s="32" t="s">
        <v>815</v>
      </c>
      <c r="O89" s="31">
        <f>8700</f>
        <v>8700</v>
      </c>
      <c r="P89" s="32" t="s">
        <v>912</v>
      </c>
      <c r="Q89" s="31">
        <f>8772</f>
        <v>8772</v>
      </c>
      <c r="R89" s="32" t="s">
        <v>94</v>
      </c>
      <c r="S89" s="33">
        <f>8773.4</f>
        <v>8773.4</v>
      </c>
      <c r="T89" s="30">
        <f>558</f>
        <v>558</v>
      </c>
      <c r="U89" s="30" t="str">
        <f>"－"</f>
        <v>－</v>
      </c>
      <c r="V89" s="30">
        <f>4913968</f>
        <v>4913968</v>
      </c>
      <c r="W89" s="30" t="str">
        <f>"－"</f>
        <v>－</v>
      </c>
      <c r="X89" s="34">
        <f>20</f>
        <v>20</v>
      </c>
    </row>
    <row r="90" spans="1:24" x14ac:dyDescent="0.15">
      <c r="A90" s="25" t="s">
        <v>966</v>
      </c>
      <c r="B90" s="25" t="s">
        <v>303</v>
      </c>
      <c r="C90" s="25" t="s">
        <v>304</v>
      </c>
      <c r="D90" s="25" t="s">
        <v>305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7205</f>
        <v>7205</v>
      </c>
      <c r="L90" s="32" t="s">
        <v>904</v>
      </c>
      <c r="M90" s="31">
        <f>7756</f>
        <v>7756</v>
      </c>
      <c r="N90" s="32" t="s">
        <v>816</v>
      </c>
      <c r="O90" s="31">
        <f>7183</f>
        <v>7183</v>
      </c>
      <c r="P90" s="32" t="s">
        <v>811</v>
      </c>
      <c r="Q90" s="31">
        <f>7458</f>
        <v>7458</v>
      </c>
      <c r="R90" s="32" t="s">
        <v>94</v>
      </c>
      <c r="S90" s="33">
        <f>7486.05</f>
        <v>7486.05</v>
      </c>
      <c r="T90" s="30">
        <f>3398674</f>
        <v>3398674</v>
      </c>
      <c r="U90" s="30">
        <f>157982</f>
        <v>157982</v>
      </c>
      <c r="V90" s="30">
        <f>25672480921</f>
        <v>25672480921</v>
      </c>
      <c r="W90" s="30">
        <f>1202411890</f>
        <v>1202411890</v>
      </c>
      <c r="X90" s="34">
        <f>20</f>
        <v>20</v>
      </c>
    </row>
    <row r="91" spans="1:24" x14ac:dyDescent="0.15">
      <c r="A91" s="25" t="s">
        <v>966</v>
      </c>
      <c r="B91" s="25" t="s">
        <v>306</v>
      </c>
      <c r="C91" s="25" t="s">
        <v>307</v>
      </c>
      <c r="D91" s="25" t="s">
        <v>308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3625</f>
        <v>3625</v>
      </c>
      <c r="L91" s="32" t="s">
        <v>904</v>
      </c>
      <c r="M91" s="31">
        <f>3925</f>
        <v>3925</v>
      </c>
      <c r="N91" s="32" t="s">
        <v>816</v>
      </c>
      <c r="O91" s="31">
        <f>3550</f>
        <v>3550</v>
      </c>
      <c r="P91" s="32" t="s">
        <v>70</v>
      </c>
      <c r="Q91" s="31">
        <f>3595</f>
        <v>3595</v>
      </c>
      <c r="R91" s="32" t="s">
        <v>94</v>
      </c>
      <c r="S91" s="33">
        <f>3693.25</f>
        <v>3693.25</v>
      </c>
      <c r="T91" s="30">
        <f>839984</f>
        <v>839984</v>
      </c>
      <c r="U91" s="30" t="str">
        <f>"－"</f>
        <v>－</v>
      </c>
      <c r="V91" s="30">
        <f>3104076730</f>
        <v>3104076730</v>
      </c>
      <c r="W91" s="30" t="str">
        <f>"－"</f>
        <v>－</v>
      </c>
      <c r="X91" s="34">
        <f>20</f>
        <v>20</v>
      </c>
    </row>
    <row r="92" spans="1:24" x14ac:dyDescent="0.15">
      <c r="A92" s="25" t="s">
        <v>966</v>
      </c>
      <c r="B92" s="25" t="s">
        <v>309</v>
      </c>
      <c r="C92" s="25" t="s">
        <v>310</v>
      </c>
      <c r="D92" s="25" t="s">
        <v>311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9124</f>
        <v>9124</v>
      </c>
      <c r="L92" s="32" t="s">
        <v>904</v>
      </c>
      <c r="M92" s="31">
        <f>10000</f>
        <v>10000</v>
      </c>
      <c r="N92" s="32" t="s">
        <v>816</v>
      </c>
      <c r="O92" s="31">
        <f>8951</f>
        <v>8951</v>
      </c>
      <c r="P92" s="32" t="s">
        <v>94</v>
      </c>
      <c r="Q92" s="31">
        <f>8951</f>
        <v>8951</v>
      </c>
      <c r="R92" s="32" t="s">
        <v>94</v>
      </c>
      <c r="S92" s="33">
        <f>9409.4</f>
        <v>9409.4</v>
      </c>
      <c r="T92" s="30">
        <f>365326</f>
        <v>365326</v>
      </c>
      <c r="U92" s="30">
        <f>3000</f>
        <v>3000</v>
      </c>
      <c r="V92" s="30">
        <f>3447533706</f>
        <v>3447533706</v>
      </c>
      <c r="W92" s="30">
        <f>29960000</f>
        <v>29960000</v>
      </c>
      <c r="X92" s="34">
        <f>20</f>
        <v>20</v>
      </c>
    </row>
    <row r="93" spans="1:24" x14ac:dyDescent="0.15">
      <c r="A93" s="25" t="s">
        <v>966</v>
      </c>
      <c r="B93" s="25" t="s">
        <v>312</v>
      </c>
      <c r="C93" s="25" t="s">
        <v>313</v>
      </c>
      <c r="D93" s="25" t="s">
        <v>314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83300</f>
        <v>83300</v>
      </c>
      <c r="L93" s="32" t="s">
        <v>904</v>
      </c>
      <c r="M93" s="31">
        <f>93950</f>
        <v>93950</v>
      </c>
      <c r="N93" s="32" t="s">
        <v>66</v>
      </c>
      <c r="O93" s="31">
        <f>80500</f>
        <v>80500</v>
      </c>
      <c r="P93" s="32" t="s">
        <v>70</v>
      </c>
      <c r="Q93" s="31">
        <f>86210</f>
        <v>86210</v>
      </c>
      <c r="R93" s="32" t="s">
        <v>94</v>
      </c>
      <c r="S93" s="33">
        <f>87653.5</f>
        <v>87653.5</v>
      </c>
      <c r="T93" s="30">
        <f>13514</f>
        <v>13514</v>
      </c>
      <c r="U93" s="30">
        <f>7</f>
        <v>7</v>
      </c>
      <c r="V93" s="30">
        <f>1192943960</f>
        <v>1192943960</v>
      </c>
      <c r="W93" s="30">
        <f>631910</f>
        <v>631910</v>
      </c>
      <c r="X93" s="34">
        <f>20</f>
        <v>20</v>
      </c>
    </row>
    <row r="94" spans="1:24" x14ac:dyDescent="0.15">
      <c r="A94" s="25" t="s">
        <v>966</v>
      </c>
      <c r="B94" s="25" t="s">
        <v>315</v>
      </c>
      <c r="C94" s="25" t="s">
        <v>940</v>
      </c>
      <c r="D94" s="25" t="s">
        <v>941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18390</f>
        <v>18390</v>
      </c>
      <c r="L94" s="32" t="s">
        <v>904</v>
      </c>
      <c r="M94" s="31">
        <f>18850</f>
        <v>18850</v>
      </c>
      <c r="N94" s="32" t="s">
        <v>810</v>
      </c>
      <c r="O94" s="31">
        <f>16735</f>
        <v>16735</v>
      </c>
      <c r="P94" s="32" t="s">
        <v>266</v>
      </c>
      <c r="Q94" s="31">
        <f>17400</f>
        <v>17400</v>
      </c>
      <c r="R94" s="32" t="s">
        <v>94</v>
      </c>
      <c r="S94" s="33">
        <f>17997.25</f>
        <v>17997.25</v>
      </c>
      <c r="T94" s="30">
        <f>2671303</f>
        <v>2671303</v>
      </c>
      <c r="U94" s="30">
        <f>16677</f>
        <v>16677</v>
      </c>
      <c r="V94" s="30">
        <f>47552152816</f>
        <v>47552152816</v>
      </c>
      <c r="W94" s="30">
        <f>288485841</f>
        <v>288485841</v>
      </c>
      <c r="X94" s="34">
        <f>20</f>
        <v>20</v>
      </c>
    </row>
    <row r="95" spans="1:24" x14ac:dyDescent="0.15">
      <c r="A95" s="25" t="s">
        <v>966</v>
      </c>
      <c r="B95" s="25" t="s">
        <v>318</v>
      </c>
      <c r="C95" s="25" t="s">
        <v>942</v>
      </c>
      <c r="D95" s="25" t="s">
        <v>943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41580</f>
        <v>41580</v>
      </c>
      <c r="L95" s="32" t="s">
        <v>904</v>
      </c>
      <c r="M95" s="31">
        <f>44500</f>
        <v>44500</v>
      </c>
      <c r="N95" s="32" t="s">
        <v>66</v>
      </c>
      <c r="O95" s="31">
        <f>41560</f>
        <v>41560</v>
      </c>
      <c r="P95" s="32" t="s">
        <v>904</v>
      </c>
      <c r="Q95" s="31">
        <f>42670</f>
        <v>42670</v>
      </c>
      <c r="R95" s="32" t="s">
        <v>94</v>
      </c>
      <c r="S95" s="33">
        <f>42598</f>
        <v>42598</v>
      </c>
      <c r="T95" s="30">
        <f>404430</f>
        <v>404430</v>
      </c>
      <c r="U95" s="30">
        <f>67810</f>
        <v>67810</v>
      </c>
      <c r="V95" s="30">
        <f>17191357131</f>
        <v>17191357131</v>
      </c>
      <c r="W95" s="30">
        <f>2886797121</f>
        <v>2886797121</v>
      </c>
      <c r="X95" s="34">
        <f>20</f>
        <v>20</v>
      </c>
    </row>
    <row r="96" spans="1:24" x14ac:dyDescent="0.15">
      <c r="A96" s="25" t="s">
        <v>966</v>
      </c>
      <c r="B96" s="25" t="s">
        <v>321</v>
      </c>
      <c r="C96" s="25" t="s">
        <v>322</v>
      </c>
      <c r="D96" s="25" t="s">
        <v>323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6014</f>
        <v>6014</v>
      </c>
      <c r="L96" s="32" t="s">
        <v>904</v>
      </c>
      <c r="M96" s="31">
        <f>6259</f>
        <v>6259</v>
      </c>
      <c r="N96" s="32" t="s">
        <v>66</v>
      </c>
      <c r="O96" s="31">
        <f>5774</f>
        <v>5774</v>
      </c>
      <c r="P96" s="32" t="s">
        <v>266</v>
      </c>
      <c r="Q96" s="31">
        <f>5968</f>
        <v>5968</v>
      </c>
      <c r="R96" s="32" t="s">
        <v>94</v>
      </c>
      <c r="S96" s="33">
        <f>6050.75</f>
        <v>6050.75</v>
      </c>
      <c r="T96" s="30">
        <f>1977430</f>
        <v>1977430</v>
      </c>
      <c r="U96" s="30" t="str">
        <f>"－"</f>
        <v>－</v>
      </c>
      <c r="V96" s="30">
        <f>11943283750</f>
        <v>11943283750</v>
      </c>
      <c r="W96" s="30" t="str">
        <f>"－"</f>
        <v>－</v>
      </c>
      <c r="X96" s="34">
        <f>20</f>
        <v>20</v>
      </c>
    </row>
    <row r="97" spans="1:24" x14ac:dyDescent="0.15">
      <c r="A97" s="25" t="s">
        <v>966</v>
      </c>
      <c r="B97" s="25" t="s">
        <v>324</v>
      </c>
      <c r="C97" s="25" t="s">
        <v>325</v>
      </c>
      <c r="D97" s="25" t="s">
        <v>326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3855</f>
        <v>3855</v>
      </c>
      <c r="L97" s="32" t="s">
        <v>904</v>
      </c>
      <c r="M97" s="31">
        <f>4008</f>
        <v>4008</v>
      </c>
      <c r="N97" s="32" t="s">
        <v>87</v>
      </c>
      <c r="O97" s="31">
        <f>3702</f>
        <v>3702</v>
      </c>
      <c r="P97" s="32" t="s">
        <v>266</v>
      </c>
      <c r="Q97" s="31">
        <f>3820</f>
        <v>3820</v>
      </c>
      <c r="R97" s="32" t="s">
        <v>94</v>
      </c>
      <c r="S97" s="33">
        <f>3875.05</f>
        <v>3875.05</v>
      </c>
      <c r="T97" s="30">
        <f>101570</f>
        <v>101570</v>
      </c>
      <c r="U97" s="30" t="str">
        <f>"－"</f>
        <v>－</v>
      </c>
      <c r="V97" s="30">
        <f>392715700</f>
        <v>392715700</v>
      </c>
      <c r="W97" s="30" t="str">
        <f>"－"</f>
        <v>－</v>
      </c>
      <c r="X97" s="34">
        <f>20</f>
        <v>20</v>
      </c>
    </row>
    <row r="98" spans="1:24" x14ac:dyDescent="0.15">
      <c r="A98" s="25" t="s">
        <v>966</v>
      </c>
      <c r="B98" s="25" t="s">
        <v>327</v>
      </c>
      <c r="C98" s="25" t="s">
        <v>328</v>
      </c>
      <c r="D98" s="25" t="s">
        <v>329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4739</f>
        <v>4739</v>
      </c>
      <c r="L98" s="32" t="s">
        <v>904</v>
      </c>
      <c r="M98" s="31">
        <f>4878</f>
        <v>4878</v>
      </c>
      <c r="N98" s="32" t="s">
        <v>810</v>
      </c>
      <c r="O98" s="31">
        <f>4276</f>
        <v>4276</v>
      </c>
      <c r="P98" s="32" t="s">
        <v>266</v>
      </c>
      <c r="Q98" s="31">
        <f>4441</f>
        <v>4441</v>
      </c>
      <c r="R98" s="32" t="s">
        <v>94</v>
      </c>
      <c r="S98" s="33">
        <f>4594.3</f>
        <v>4594.3</v>
      </c>
      <c r="T98" s="30">
        <f>8420</f>
        <v>8420</v>
      </c>
      <c r="U98" s="30" t="str">
        <f>"－"</f>
        <v>－</v>
      </c>
      <c r="V98" s="30">
        <f>38369090</f>
        <v>38369090</v>
      </c>
      <c r="W98" s="30" t="str">
        <f>"－"</f>
        <v>－</v>
      </c>
      <c r="X98" s="34">
        <f>20</f>
        <v>20</v>
      </c>
    </row>
    <row r="99" spans="1:24" x14ac:dyDescent="0.15">
      <c r="A99" s="25" t="s">
        <v>966</v>
      </c>
      <c r="B99" s="25" t="s">
        <v>330</v>
      </c>
      <c r="C99" s="25" t="s">
        <v>331</v>
      </c>
      <c r="D99" s="25" t="s">
        <v>332</v>
      </c>
      <c r="E99" s="26" t="s">
        <v>45</v>
      </c>
      <c r="F99" s="27" t="s">
        <v>45</v>
      </c>
      <c r="G99" s="28" t="s">
        <v>45</v>
      </c>
      <c r="H99" s="29" t="s">
        <v>333</v>
      </c>
      <c r="I99" s="29" t="s">
        <v>46</v>
      </c>
      <c r="J99" s="30">
        <v>1</v>
      </c>
      <c r="K99" s="31">
        <f>1969</f>
        <v>1969</v>
      </c>
      <c r="L99" s="32" t="s">
        <v>904</v>
      </c>
      <c r="M99" s="31">
        <f>2499</f>
        <v>2499</v>
      </c>
      <c r="N99" s="32" t="s">
        <v>94</v>
      </c>
      <c r="O99" s="31">
        <f>1838</f>
        <v>1838</v>
      </c>
      <c r="P99" s="32" t="s">
        <v>810</v>
      </c>
      <c r="Q99" s="31">
        <f>2483</f>
        <v>2483</v>
      </c>
      <c r="R99" s="32" t="s">
        <v>94</v>
      </c>
      <c r="S99" s="33">
        <f>2085.4</f>
        <v>2085.4</v>
      </c>
      <c r="T99" s="30">
        <f>26944240</f>
        <v>26944240</v>
      </c>
      <c r="U99" s="30">
        <f>41556</f>
        <v>41556</v>
      </c>
      <c r="V99" s="30">
        <f>57023922878</f>
        <v>57023922878</v>
      </c>
      <c r="W99" s="30">
        <f>78706911</f>
        <v>78706911</v>
      </c>
      <c r="X99" s="34">
        <f>20</f>
        <v>20</v>
      </c>
    </row>
    <row r="100" spans="1:24" x14ac:dyDescent="0.15">
      <c r="A100" s="25" t="s">
        <v>966</v>
      </c>
      <c r="B100" s="25" t="s">
        <v>334</v>
      </c>
      <c r="C100" s="25" t="s">
        <v>335</v>
      </c>
      <c r="D100" s="25" t="s">
        <v>336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3246</f>
        <v>3246</v>
      </c>
      <c r="L100" s="32" t="s">
        <v>904</v>
      </c>
      <c r="M100" s="31">
        <f>3378</f>
        <v>3378</v>
      </c>
      <c r="N100" s="32" t="s">
        <v>66</v>
      </c>
      <c r="O100" s="31">
        <f>3121</f>
        <v>3121</v>
      </c>
      <c r="P100" s="32" t="s">
        <v>266</v>
      </c>
      <c r="Q100" s="31">
        <f>3224</f>
        <v>3224</v>
      </c>
      <c r="R100" s="32" t="s">
        <v>94</v>
      </c>
      <c r="S100" s="33">
        <f>3275.45</f>
        <v>3275.45</v>
      </c>
      <c r="T100" s="30">
        <f>78450</f>
        <v>78450</v>
      </c>
      <c r="U100" s="30" t="str">
        <f>"－"</f>
        <v>－</v>
      </c>
      <c r="V100" s="30">
        <f>255007290</f>
        <v>255007290</v>
      </c>
      <c r="W100" s="30" t="str">
        <f>"－"</f>
        <v>－</v>
      </c>
      <c r="X100" s="34">
        <f>20</f>
        <v>20</v>
      </c>
    </row>
    <row r="101" spans="1:24" x14ac:dyDescent="0.15">
      <c r="A101" s="25" t="s">
        <v>966</v>
      </c>
      <c r="B101" s="25" t="s">
        <v>337</v>
      </c>
      <c r="C101" s="25" t="s">
        <v>338</v>
      </c>
      <c r="D101" s="25" t="s">
        <v>339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1950</f>
        <v>1950</v>
      </c>
      <c r="L101" s="32" t="s">
        <v>904</v>
      </c>
      <c r="M101" s="31">
        <f>2062</f>
        <v>2062</v>
      </c>
      <c r="N101" s="32" t="s">
        <v>66</v>
      </c>
      <c r="O101" s="31">
        <f>1921.5</f>
        <v>1921.5</v>
      </c>
      <c r="P101" s="32" t="s">
        <v>266</v>
      </c>
      <c r="Q101" s="31">
        <f>1977</f>
        <v>1977</v>
      </c>
      <c r="R101" s="32" t="s">
        <v>94</v>
      </c>
      <c r="S101" s="33">
        <f>1990.38</f>
        <v>1990.38</v>
      </c>
      <c r="T101" s="30">
        <f>199990</f>
        <v>199990</v>
      </c>
      <c r="U101" s="30">
        <f>110180</f>
        <v>110180</v>
      </c>
      <c r="V101" s="30">
        <f>403121432</f>
        <v>403121432</v>
      </c>
      <c r="W101" s="30">
        <f>223888017</f>
        <v>223888017</v>
      </c>
      <c r="X101" s="34">
        <f>20</f>
        <v>20</v>
      </c>
    </row>
    <row r="102" spans="1:24" x14ac:dyDescent="0.15">
      <c r="A102" s="25" t="s">
        <v>966</v>
      </c>
      <c r="B102" s="25" t="s">
        <v>340</v>
      </c>
      <c r="C102" s="25" t="s">
        <v>341</v>
      </c>
      <c r="D102" s="25" t="s">
        <v>342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55170</f>
        <v>55170</v>
      </c>
      <c r="L102" s="32" t="s">
        <v>904</v>
      </c>
      <c r="M102" s="31">
        <f>57420</f>
        <v>57420</v>
      </c>
      <c r="N102" s="32" t="s">
        <v>66</v>
      </c>
      <c r="O102" s="31">
        <f>53000</f>
        <v>53000</v>
      </c>
      <c r="P102" s="32" t="s">
        <v>266</v>
      </c>
      <c r="Q102" s="31">
        <f>54730</f>
        <v>54730</v>
      </c>
      <c r="R102" s="32" t="s">
        <v>94</v>
      </c>
      <c r="S102" s="33">
        <f>55494</f>
        <v>55494</v>
      </c>
      <c r="T102" s="30">
        <f>218327</f>
        <v>218327</v>
      </c>
      <c r="U102" s="30">
        <f>4500</f>
        <v>4500</v>
      </c>
      <c r="V102" s="30">
        <f>12023833013</f>
        <v>12023833013</v>
      </c>
      <c r="W102" s="30">
        <f>251673773</f>
        <v>251673773</v>
      </c>
      <c r="X102" s="34">
        <f>20</f>
        <v>20</v>
      </c>
    </row>
    <row r="103" spans="1:24" x14ac:dyDescent="0.15">
      <c r="A103" s="25" t="s">
        <v>966</v>
      </c>
      <c r="B103" s="25" t="s">
        <v>343</v>
      </c>
      <c r="C103" s="25" t="s">
        <v>344</v>
      </c>
      <c r="D103" s="25" t="s">
        <v>345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3340</f>
        <v>3340</v>
      </c>
      <c r="L103" s="32" t="s">
        <v>904</v>
      </c>
      <c r="M103" s="31">
        <f>3490</f>
        <v>3490</v>
      </c>
      <c r="N103" s="32" t="s">
        <v>908</v>
      </c>
      <c r="O103" s="31">
        <f>3240</f>
        <v>3240</v>
      </c>
      <c r="P103" s="32" t="s">
        <v>94</v>
      </c>
      <c r="Q103" s="31">
        <f>3280</f>
        <v>3280</v>
      </c>
      <c r="R103" s="32" t="s">
        <v>94</v>
      </c>
      <c r="S103" s="33">
        <f>3358.5</f>
        <v>3358.5</v>
      </c>
      <c r="T103" s="30">
        <f>11444</f>
        <v>11444</v>
      </c>
      <c r="U103" s="30" t="str">
        <f>"－"</f>
        <v>－</v>
      </c>
      <c r="V103" s="30">
        <f>38488185</f>
        <v>38488185</v>
      </c>
      <c r="W103" s="30" t="str">
        <f>"－"</f>
        <v>－</v>
      </c>
      <c r="X103" s="34">
        <f>20</f>
        <v>20</v>
      </c>
    </row>
    <row r="104" spans="1:24" x14ac:dyDescent="0.15">
      <c r="A104" s="25" t="s">
        <v>966</v>
      </c>
      <c r="B104" s="25" t="s">
        <v>346</v>
      </c>
      <c r="C104" s="25" t="s">
        <v>347</v>
      </c>
      <c r="D104" s="25" t="s">
        <v>348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4450</f>
        <v>4450</v>
      </c>
      <c r="L104" s="32" t="s">
        <v>904</v>
      </c>
      <c r="M104" s="31">
        <f>4800</f>
        <v>4800</v>
      </c>
      <c r="N104" s="32" t="s">
        <v>908</v>
      </c>
      <c r="O104" s="31">
        <f>4405</f>
        <v>4405</v>
      </c>
      <c r="P104" s="32" t="s">
        <v>94</v>
      </c>
      <c r="Q104" s="31">
        <f>4490</f>
        <v>4490</v>
      </c>
      <c r="R104" s="32" t="s">
        <v>94</v>
      </c>
      <c r="S104" s="33">
        <f>4606.75</f>
        <v>4606.75</v>
      </c>
      <c r="T104" s="30">
        <f>12041</f>
        <v>12041</v>
      </c>
      <c r="U104" s="30" t="str">
        <f>"－"</f>
        <v>－</v>
      </c>
      <c r="V104" s="30">
        <f>55845475</f>
        <v>55845475</v>
      </c>
      <c r="W104" s="30" t="str">
        <f>"－"</f>
        <v>－</v>
      </c>
      <c r="X104" s="34">
        <f>20</f>
        <v>20</v>
      </c>
    </row>
    <row r="105" spans="1:24" x14ac:dyDescent="0.15">
      <c r="A105" s="25" t="s">
        <v>966</v>
      </c>
      <c r="B105" s="25" t="s">
        <v>349</v>
      </c>
      <c r="C105" s="25" t="s">
        <v>350</v>
      </c>
      <c r="D105" s="25" t="s">
        <v>351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2470</f>
        <v>2470</v>
      </c>
      <c r="L105" s="32" t="s">
        <v>904</v>
      </c>
      <c r="M105" s="31">
        <f>2827</f>
        <v>2827</v>
      </c>
      <c r="N105" s="32" t="s">
        <v>810</v>
      </c>
      <c r="O105" s="31">
        <f>2220</f>
        <v>2220</v>
      </c>
      <c r="P105" s="32" t="s">
        <v>815</v>
      </c>
      <c r="Q105" s="31">
        <f>2282</f>
        <v>2282</v>
      </c>
      <c r="R105" s="32" t="s">
        <v>94</v>
      </c>
      <c r="S105" s="33">
        <f>2485.6</f>
        <v>2485.6</v>
      </c>
      <c r="T105" s="30">
        <f>1409808</f>
        <v>1409808</v>
      </c>
      <c r="U105" s="30">
        <f>7085</f>
        <v>7085</v>
      </c>
      <c r="V105" s="30">
        <f>3526167364</f>
        <v>3526167364</v>
      </c>
      <c r="W105" s="30">
        <f>19853639</f>
        <v>19853639</v>
      </c>
      <c r="X105" s="34">
        <f>20</f>
        <v>20</v>
      </c>
    </row>
    <row r="106" spans="1:24" x14ac:dyDescent="0.15">
      <c r="A106" s="25" t="s">
        <v>966</v>
      </c>
      <c r="B106" s="25" t="s">
        <v>352</v>
      </c>
      <c r="C106" s="25" t="s">
        <v>353</v>
      </c>
      <c r="D106" s="25" t="s">
        <v>354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43200</f>
        <v>43200</v>
      </c>
      <c r="L106" s="32" t="s">
        <v>904</v>
      </c>
      <c r="M106" s="31">
        <f>44200</f>
        <v>44200</v>
      </c>
      <c r="N106" s="32" t="s">
        <v>87</v>
      </c>
      <c r="O106" s="31">
        <f>42510</f>
        <v>42510</v>
      </c>
      <c r="P106" s="32" t="s">
        <v>266</v>
      </c>
      <c r="Q106" s="31">
        <f>43180</f>
        <v>43180</v>
      </c>
      <c r="R106" s="32" t="s">
        <v>94</v>
      </c>
      <c r="S106" s="33">
        <f>43542</f>
        <v>43542</v>
      </c>
      <c r="T106" s="30">
        <f>13680</f>
        <v>13680</v>
      </c>
      <c r="U106" s="30">
        <f>1853</f>
        <v>1853</v>
      </c>
      <c r="V106" s="30">
        <f>594818740</f>
        <v>594818740</v>
      </c>
      <c r="W106" s="30">
        <f>80271810</f>
        <v>80271810</v>
      </c>
      <c r="X106" s="34">
        <f>20</f>
        <v>20</v>
      </c>
    </row>
    <row r="107" spans="1:24" x14ac:dyDescent="0.15">
      <c r="A107" s="25" t="s">
        <v>966</v>
      </c>
      <c r="B107" s="25" t="s">
        <v>355</v>
      </c>
      <c r="C107" s="25" t="s">
        <v>356</v>
      </c>
      <c r="D107" s="25" t="s">
        <v>357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23875</f>
        <v>23875</v>
      </c>
      <c r="L107" s="32" t="s">
        <v>904</v>
      </c>
      <c r="M107" s="31">
        <f>24830</f>
        <v>24830</v>
      </c>
      <c r="N107" s="32" t="s">
        <v>810</v>
      </c>
      <c r="O107" s="31">
        <f>21645</f>
        <v>21645</v>
      </c>
      <c r="P107" s="32" t="s">
        <v>266</v>
      </c>
      <c r="Q107" s="31">
        <f>23070</f>
        <v>23070</v>
      </c>
      <c r="R107" s="32" t="s">
        <v>94</v>
      </c>
      <c r="S107" s="33">
        <f>23139</f>
        <v>23139</v>
      </c>
      <c r="T107" s="30">
        <f>3124350</f>
        <v>3124350</v>
      </c>
      <c r="U107" s="30">
        <f>180</f>
        <v>180</v>
      </c>
      <c r="V107" s="30">
        <f>71822186850</f>
        <v>71822186850</v>
      </c>
      <c r="W107" s="30">
        <f>4229350</f>
        <v>4229350</v>
      </c>
      <c r="X107" s="34">
        <f>20</f>
        <v>20</v>
      </c>
    </row>
    <row r="108" spans="1:24" x14ac:dyDescent="0.15">
      <c r="A108" s="25" t="s">
        <v>966</v>
      </c>
      <c r="B108" s="25" t="s">
        <v>358</v>
      </c>
      <c r="C108" s="25" t="s">
        <v>359</v>
      </c>
      <c r="D108" s="25" t="s">
        <v>360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2117</f>
        <v>2117</v>
      </c>
      <c r="L108" s="32" t="s">
        <v>904</v>
      </c>
      <c r="M108" s="31">
        <f>2213.5</f>
        <v>2213.5</v>
      </c>
      <c r="N108" s="32" t="s">
        <v>266</v>
      </c>
      <c r="O108" s="31">
        <f>2074</f>
        <v>2074</v>
      </c>
      <c r="P108" s="32" t="s">
        <v>810</v>
      </c>
      <c r="Q108" s="31">
        <f>2144.5</f>
        <v>2144.5</v>
      </c>
      <c r="R108" s="32" t="s">
        <v>94</v>
      </c>
      <c r="S108" s="33">
        <f>2147.78</f>
        <v>2147.7800000000002</v>
      </c>
      <c r="T108" s="30">
        <f>107600</f>
        <v>107600</v>
      </c>
      <c r="U108" s="30" t="str">
        <f>"－"</f>
        <v>－</v>
      </c>
      <c r="V108" s="30">
        <f>231296590</f>
        <v>231296590</v>
      </c>
      <c r="W108" s="30" t="str">
        <f>"－"</f>
        <v>－</v>
      </c>
      <c r="X108" s="34">
        <f>20</f>
        <v>20</v>
      </c>
    </row>
    <row r="109" spans="1:24" x14ac:dyDescent="0.15">
      <c r="A109" s="25" t="s">
        <v>966</v>
      </c>
      <c r="B109" s="25" t="s">
        <v>361</v>
      </c>
      <c r="C109" s="25" t="s">
        <v>362</v>
      </c>
      <c r="D109" s="25" t="s">
        <v>363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14430</f>
        <v>14430</v>
      </c>
      <c r="L109" s="32" t="s">
        <v>904</v>
      </c>
      <c r="M109" s="31">
        <f>14815</f>
        <v>14815</v>
      </c>
      <c r="N109" s="32" t="s">
        <v>810</v>
      </c>
      <c r="O109" s="31">
        <f>12805</f>
        <v>12805</v>
      </c>
      <c r="P109" s="32" t="s">
        <v>266</v>
      </c>
      <c r="Q109" s="31">
        <f>13600</f>
        <v>13600</v>
      </c>
      <c r="R109" s="32" t="s">
        <v>94</v>
      </c>
      <c r="S109" s="33">
        <f>13831.75</f>
        <v>13831.75</v>
      </c>
      <c r="T109" s="30">
        <f>183660605</f>
        <v>183660605</v>
      </c>
      <c r="U109" s="30">
        <f>207913</f>
        <v>207913</v>
      </c>
      <c r="V109" s="30">
        <f>2526879506594</f>
        <v>2526879506594</v>
      </c>
      <c r="W109" s="30">
        <f>2876349334</f>
        <v>2876349334</v>
      </c>
      <c r="X109" s="34">
        <f>20</f>
        <v>20</v>
      </c>
    </row>
    <row r="110" spans="1:24" x14ac:dyDescent="0.15">
      <c r="A110" s="25" t="s">
        <v>966</v>
      </c>
      <c r="B110" s="25" t="s">
        <v>364</v>
      </c>
      <c r="C110" s="25" t="s">
        <v>365</v>
      </c>
      <c r="D110" s="25" t="s">
        <v>366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997</f>
        <v>997</v>
      </c>
      <c r="L110" s="32" t="s">
        <v>904</v>
      </c>
      <c r="M110" s="31">
        <f>1052</f>
        <v>1052</v>
      </c>
      <c r="N110" s="32" t="s">
        <v>266</v>
      </c>
      <c r="O110" s="31">
        <f>983</f>
        <v>983</v>
      </c>
      <c r="P110" s="32" t="s">
        <v>810</v>
      </c>
      <c r="Q110" s="31">
        <f>1020</f>
        <v>1020</v>
      </c>
      <c r="R110" s="32" t="s">
        <v>94</v>
      </c>
      <c r="S110" s="33">
        <f>1015.15</f>
        <v>1015.15</v>
      </c>
      <c r="T110" s="30">
        <f>66187121</f>
        <v>66187121</v>
      </c>
      <c r="U110" s="30">
        <f>1070706</f>
        <v>1070706</v>
      </c>
      <c r="V110" s="30">
        <f>67537924385</f>
        <v>67537924385</v>
      </c>
      <c r="W110" s="30">
        <f>1093654953</f>
        <v>1093654953</v>
      </c>
      <c r="X110" s="34">
        <f>20</f>
        <v>20</v>
      </c>
    </row>
    <row r="111" spans="1:24" x14ac:dyDescent="0.15">
      <c r="A111" s="25" t="s">
        <v>966</v>
      </c>
      <c r="B111" s="25" t="s">
        <v>367</v>
      </c>
      <c r="C111" s="25" t="s">
        <v>368</v>
      </c>
      <c r="D111" s="25" t="s">
        <v>369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5766</f>
        <v>5766</v>
      </c>
      <c r="L111" s="32" t="s">
        <v>904</v>
      </c>
      <c r="M111" s="31">
        <f>6309</f>
        <v>6309</v>
      </c>
      <c r="N111" s="32" t="s">
        <v>810</v>
      </c>
      <c r="O111" s="31">
        <f>4730</f>
        <v>4730</v>
      </c>
      <c r="P111" s="32" t="s">
        <v>266</v>
      </c>
      <c r="Q111" s="31">
        <f>5050</f>
        <v>5050</v>
      </c>
      <c r="R111" s="32" t="s">
        <v>94</v>
      </c>
      <c r="S111" s="33">
        <f>5566.95</f>
        <v>5566.95</v>
      </c>
      <c r="T111" s="30">
        <f>92160</f>
        <v>92160</v>
      </c>
      <c r="U111" s="30" t="str">
        <f>"－"</f>
        <v>－</v>
      </c>
      <c r="V111" s="30">
        <f>507111210</f>
        <v>507111210</v>
      </c>
      <c r="W111" s="30" t="str">
        <f>"－"</f>
        <v>－</v>
      </c>
      <c r="X111" s="34">
        <f>20</f>
        <v>20</v>
      </c>
    </row>
    <row r="112" spans="1:24" x14ac:dyDescent="0.15">
      <c r="A112" s="25" t="s">
        <v>966</v>
      </c>
      <c r="B112" s="25" t="s">
        <v>370</v>
      </c>
      <c r="C112" s="25" t="s">
        <v>371</v>
      </c>
      <c r="D112" s="25" t="s">
        <v>372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9650</f>
        <v>9650</v>
      </c>
      <c r="L112" s="32" t="s">
        <v>904</v>
      </c>
      <c r="M112" s="31">
        <f>11300</f>
        <v>11300</v>
      </c>
      <c r="N112" s="32" t="s">
        <v>266</v>
      </c>
      <c r="O112" s="31">
        <f>9080</f>
        <v>9080</v>
      </c>
      <c r="P112" s="32" t="s">
        <v>810</v>
      </c>
      <c r="Q112" s="31">
        <f>11070</f>
        <v>11070</v>
      </c>
      <c r="R112" s="32" t="s">
        <v>94</v>
      </c>
      <c r="S112" s="33">
        <f>10199</f>
        <v>10199</v>
      </c>
      <c r="T112" s="30">
        <f>21580</f>
        <v>21580</v>
      </c>
      <c r="U112" s="30">
        <f>130</f>
        <v>130</v>
      </c>
      <c r="V112" s="30">
        <f>222507190</f>
        <v>222507190</v>
      </c>
      <c r="W112" s="30">
        <f>1277420</f>
        <v>1277420</v>
      </c>
      <c r="X112" s="34">
        <f>20</f>
        <v>20</v>
      </c>
    </row>
    <row r="113" spans="1:24" x14ac:dyDescent="0.15">
      <c r="A113" s="25" t="s">
        <v>966</v>
      </c>
      <c r="B113" s="25" t="s">
        <v>373</v>
      </c>
      <c r="C113" s="25" t="s">
        <v>374</v>
      </c>
      <c r="D113" s="25" t="s">
        <v>375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762.8</f>
        <v>762.8</v>
      </c>
      <c r="L113" s="32" t="s">
        <v>904</v>
      </c>
      <c r="M113" s="31">
        <f>762.8</f>
        <v>762.8</v>
      </c>
      <c r="N113" s="32" t="s">
        <v>904</v>
      </c>
      <c r="O113" s="31">
        <f>678.1</f>
        <v>678.1</v>
      </c>
      <c r="P113" s="32" t="s">
        <v>266</v>
      </c>
      <c r="Q113" s="31">
        <f>735</f>
        <v>735</v>
      </c>
      <c r="R113" s="32" t="s">
        <v>94</v>
      </c>
      <c r="S113" s="33">
        <f>739.05</f>
        <v>739.05</v>
      </c>
      <c r="T113" s="30">
        <f>5470</f>
        <v>5470</v>
      </c>
      <c r="U113" s="30" t="str">
        <f>"－"</f>
        <v>－</v>
      </c>
      <c r="V113" s="30">
        <f>3944669</f>
        <v>3944669</v>
      </c>
      <c r="W113" s="30" t="str">
        <f>"－"</f>
        <v>－</v>
      </c>
      <c r="X113" s="34">
        <f>20</f>
        <v>20</v>
      </c>
    </row>
    <row r="114" spans="1:24" x14ac:dyDescent="0.15">
      <c r="A114" s="25" t="s">
        <v>966</v>
      </c>
      <c r="B114" s="25" t="s">
        <v>376</v>
      </c>
      <c r="C114" s="25" t="s">
        <v>377</v>
      </c>
      <c r="D114" s="25" t="s">
        <v>378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24200</f>
        <v>24200</v>
      </c>
      <c r="L114" s="32" t="s">
        <v>904</v>
      </c>
      <c r="M114" s="31">
        <f>24465</f>
        <v>24465</v>
      </c>
      <c r="N114" s="32" t="s">
        <v>811</v>
      </c>
      <c r="O114" s="31">
        <f>22820</f>
        <v>22820</v>
      </c>
      <c r="P114" s="32" t="s">
        <v>70</v>
      </c>
      <c r="Q114" s="31">
        <f>23655</f>
        <v>23655</v>
      </c>
      <c r="R114" s="32" t="s">
        <v>94</v>
      </c>
      <c r="S114" s="33">
        <f>23611</f>
        <v>23611</v>
      </c>
      <c r="T114" s="30">
        <f>71020</f>
        <v>71020</v>
      </c>
      <c r="U114" s="30">
        <f>4806</f>
        <v>4806</v>
      </c>
      <c r="V114" s="30">
        <f>1696098670</f>
        <v>1696098670</v>
      </c>
      <c r="W114" s="30">
        <f>116217305</f>
        <v>116217305</v>
      </c>
      <c r="X114" s="34">
        <f>20</f>
        <v>20</v>
      </c>
    </row>
    <row r="115" spans="1:24" x14ac:dyDescent="0.15">
      <c r="A115" s="25" t="s">
        <v>966</v>
      </c>
      <c r="B115" s="25" t="s">
        <v>379</v>
      </c>
      <c r="C115" s="25" t="s">
        <v>380</v>
      </c>
      <c r="D115" s="25" t="s">
        <v>381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2208</f>
        <v>2208</v>
      </c>
      <c r="L115" s="32" t="s">
        <v>904</v>
      </c>
      <c r="M115" s="31">
        <f>2238</f>
        <v>2238</v>
      </c>
      <c r="N115" s="32" t="s">
        <v>810</v>
      </c>
      <c r="O115" s="31">
        <f>2088</f>
        <v>2088</v>
      </c>
      <c r="P115" s="32" t="s">
        <v>266</v>
      </c>
      <c r="Q115" s="31">
        <f>2133</f>
        <v>2133</v>
      </c>
      <c r="R115" s="32" t="s">
        <v>94</v>
      </c>
      <c r="S115" s="33">
        <f>2163.15</f>
        <v>2163.15</v>
      </c>
      <c r="T115" s="30">
        <f>17251</f>
        <v>17251</v>
      </c>
      <c r="U115" s="30" t="str">
        <f>"－"</f>
        <v>－</v>
      </c>
      <c r="V115" s="30">
        <f>36949064</f>
        <v>36949064</v>
      </c>
      <c r="W115" s="30" t="str">
        <f>"－"</f>
        <v>－</v>
      </c>
      <c r="X115" s="34">
        <f>20</f>
        <v>20</v>
      </c>
    </row>
    <row r="116" spans="1:24" x14ac:dyDescent="0.15">
      <c r="A116" s="25" t="s">
        <v>966</v>
      </c>
      <c r="B116" s="25" t="s">
        <v>382</v>
      </c>
      <c r="C116" s="25" t="s">
        <v>383</v>
      </c>
      <c r="D116" s="25" t="s">
        <v>384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10</v>
      </c>
      <c r="K116" s="31">
        <f>15440</f>
        <v>15440</v>
      </c>
      <c r="L116" s="32" t="s">
        <v>904</v>
      </c>
      <c r="M116" s="31">
        <f>15850</f>
        <v>15850</v>
      </c>
      <c r="N116" s="32" t="s">
        <v>810</v>
      </c>
      <c r="O116" s="31">
        <f>13700</f>
        <v>13700</v>
      </c>
      <c r="P116" s="32" t="s">
        <v>266</v>
      </c>
      <c r="Q116" s="31">
        <f>14540</f>
        <v>14540</v>
      </c>
      <c r="R116" s="32" t="s">
        <v>94</v>
      </c>
      <c r="S116" s="33">
        <f>14803.25</f>
        <v>14803.25</v>
      </c>
      <c r="T116" s="30">
        <f>16005790</f>
        <v>16005790</v>
      </c>
      <c r="U116" s="30">
        <f>20380</f>
        <v>20380</v>
      </c>
      <c r="V116" s="30">
        <f>234721203200</f>
        <v>234721203200</v>
      </c>
      <c r="W116" s="30">
        <f>281731200</f>
        <v>281731200</v>
      </c>
      <c r="X116" s="34">
        <f>20</f>
        <v>20</v>
      </c>
    </row>
    <row r="117" spans="1:24" x14ac:dyDescent="0.15">
      <c r="A117" s="25" t="s">
        <v>966</v>
      </c>
      <c r="B117" s="25" t="s">
        <v>385</v>
      </c>
      <c r="C117" s="25" t="s">
        <v>386</v>
      </c>
      <c r="D117" s="25" t="s">
        <v>387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2652</f>
        <v>2652</v>
      </c>
      <c r="L117" s="32" t="s">
        <v>904</v>
      </c>
      <c r="M117" s="31">
        <f>2794.5</f>
        <v>2794.5</v>
      </c>
      <c r="N117" s="32" t="s">
        <v>266</v>
      </c>
      <c r="O117" s="31">
        <f>2614.5</f>
        <v>2614.5</v>
      </c>
      <c r="P117" s="32" t="s">
        <v>810</v>
      </c>
      <c r="Q117" s="31">
        <f>2715.5</f>
        <v>2715.5</v>
      </c>
      <c r="R117" s="32" t="s">
        <v>94</v>
      </c>
      <c r="S117" s="33">
        <f>2699.98</f>
        <v>2699.98</v>
      </c>
      <c r="T117" s="30">
        <f>3778210</f>
        <v>3778210</v>
      </c>
      <c r="U117" s="30">
        <f>805000</f>
        <v>805000</v>
      </c>
      <c r="V117" s="30">
        <f>10279501780</f>
        <v>10279501780</v>
      </c>
      <c r="W117" s="30">
        <f>2189604300</f>
        <v>2189604300</v>
      </c>
      <c r="X117" s="34">
        <f>20</f>
        <v>20</v>
      </c>
    </row>
    <row r="118" spans="1:24" x14ac:dyDescent="0.15">
      <c r="A118" s="25" t="s">
        <v>966</v>
      </c>
      <c r="B118" s="25" t="s">
        <v>388</v>
      </c>
      <c r="C118" s="25" t="s">
        <v>389</v>
      </c>
      <c r="D118" s="25" t="s">
        <v>390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901</f>
        <v>901</v>
      </c>
      <c r="L118" s="32" t="s">
        <v>70</v>
      </c>
      <c r="M118" s="31">
        <f>955</f>
        <v>955</v>
      </c>
      <c r="N118" s="32" t="s">
        <v>815</v>
      </c>
      <c r="O118" s="31">
        <f>901</f>
        <v>901</v>
      </c>
      <c r="P118" s="32" t="s">
        <v>70</v>
      </c>
      <c r="Q118" s="31">
        <f>955</f>
        <v>955</v>
      </c>
      <c r="R118" s="32" t="s">
        <v>815</v>
      </c>
      <c r="S118" s="33">
        <f>932.33</f>
        <v>932.33</v>
      </c>
      <c r="T118" s="30">
        <f>200</f>
        <v>200</v>
      </c>
      <c r="U118" s="30" t="str">
        <f>"－"</f>
        <v>－</v>
      </c>
      <c r="V118" s="30">
        <f>185360</f>
        <v>185360</v>
      </c>
      <c r="W118" s="30" t="str">
        <f>"－"</f>
        <v>－</v>
      </c>
      <c r="X118" s="34">
        <f>3</f>
        <v>3</v>
      </c>
    </row>
    <row r="119" spans="1:24" x14ac:dyDescent="0.15">
      <c r="A119" s="25" t="s">
        <v>966</v>
      </c>
      <c r="B119" s="25" t="s">
        <v>391</v>
      </c>
      <c r="C119" s="25" t="s">
        <v>392</v>
      </c>
      <c r="D119" s="25" t="s">
        <v>393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1543</f>
        <v>1543</v>
      </c>
      <c r="L119" s="32" t="s">
        <v>811</v>
      </c>
      <c r="M119" s="31">
        <f>1543</f>
        <v>1543</v>
      </c>
      <c r="N119" s="32" t="s">
        <v>811</v>
      </c>
      <c r="O119" s="31">
        <f>1499</f>
        <v>1499</v>
      </c>
      <c r="P119" s="32" t="s">
        <v>912</v>
      </c>
      <c r="Q119" s="31">
        <f>1520</f>
        <v>1520</v>
      </c>
      <c r="R119" s="32" t="s">
        <v>66</v>
      </c>
      <c r="S119" s="33">
        <f>1520.67</f>
        <v>1520.67</v>
      </c>
      <c r="T119" s="30">
        <f>240</f>
        <v>240</v>
      </c>
      <c r="U119" s="30" t="str">
        <f>"－"</f>
        <v>－</v>
      </c>
      <c r="V119" s="30">
        <f>367580</f>
        <v>367580</v>
      </c>
      <c r="W119" s="30" t="str">
        <f>"－"</f>
        <v>－</v>
      </c>
      <c r="X119" s="34">
        <f>3</f>
        <v>3</v>
      </c>
    </row>
    <row r="120" spans="1:24" x14ac:dyDescent="0.15">
      <c r="A120" s="25" t="s">
        <v>966</v>
      </c>
      <c r="B120" s="25" t="s">
        <v>394</v>
      </c>
      <c r="C120" s="25" t="s">
        <v>395</v>
      </c>
      <c r="D120" s="25" t="s">
        <v>396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1705</f>
        <v>1705</v>
      </c>
      <c r="L120" s="32" t="s">
        <v>904</v>
      </c>
      <c r="M120" s="31">
        <f>1730</f>
        <v>1730</v>
      </c>
      <c r="N120" s="32" t="s">
        <v>810</v>
      </c>
      <c r="O120" s="31">
        <f>1582</f>
        <v>1582</v>
      </c>
      <c r="P120" s="32" t="s">
        <v>266</v>
      </c>
      <c r="Q120" s="31">
        <f>1624</f>
        <v>1624</v>
      </c>
      <c r="R120" s="32" t="s">
        <v>94</v>
      </c>
      <c r="S120" s="33">
        <f>1650.55</f>
        <v>1650.55</v>
      </c>
      <c r="T120" s="30">
        <f>5715</f>
        <v>5715</v>
      </c>
      <c r="U120" s="30" t="str">
        <f>"－"</f>
        <v>－</v>
      </c>
      <c r="V120" s="30">
        <f>9396386</f>
        <v>9396386</v>
      </c>
      <c r="W120" s="30" t="str">
        <f>"－"</f>
        <v>－</v>
      </c>
      <c r="X120" s="34">
        <f>20</f>
        <v>20</v>
      </c>
    </row>
    <row r="121" spans="1:24" x14ac:dyDescent="0.15">
      <c r="A121" s="25" t="s">
        <v>966</v>
      </c>
      <c r="B121" s="25" t="s">
        <v>397</v>
      </c>
      <c r="C121" s="25" t="s">
        <v>398</v>
      </c>
      <c r="D121" s="25" t="s">
        <v>399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17685</f>
        <v>17685</v>
      </c>
      <c r="L121" s="32" t="s">
        <v>904</v>
      </c>
      <c r="M121" s="31">
        <f>18060</f>
        <v>18060</v>
      </c>
      <c r="N121" s="32" t="s">
        <v>811</v>
      </c>
      <c r="O121" s="31">
        <f>16665</f>
        <v>16665</v>
      </c>
      <c r="P121" s="32" t="s">
        <v>266</v>
      </c>
      <c r="Q121" s="31">
        <f>17500</f>
        <v>17500</v>
      </c>
      <c r="R121" s="32" t="s">
        <v>94</v>
      </c>
      <c r="S121" s="33">
        <f>17242</f>
        <v>17242</v>
      </c>
      <c r="T121" s="30">
        <f>79486</f>
        <v>79486</v>
      </c>
      <c r="U121" s="30">
        <f>16003</f>
        <v>16003</v>
      </c>
      <c r="V121" s="30">
        <f>1380395695</f>
        <v>1380395695</v>
      </c>
      <c r="W121" s="30">
        <f>276547005</f>
        <v>276547005</v>
      </c>
      <c r="X121" s="34">
        <f>20</f>
        <v>20</v>
      </c>
    </row>
    <row r="122" spans="1:24" x14ac:dyDescent="0.15">
      <c r="A122" s="25" t="s">
        <v>966</v>
      </c>
      <c r="B122" s="25" t="s">
        <v>400</v>
      </c>
      <c r="C122" s="25" t="s">
        <v>401</v>
      </c>
      <c r="D122" s="25" t="s">
        <v>402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1630</f>
        <v>1630</v>
      </c>
      <c r="L122" s="32" t="s">
        <v>904</v>
      </c>
      <c r="M122" s="31">
        <f>1642</f>
        <v>1642</v>
      </c>
      <c r="N122" s="32" t="s">
        <v>810</v>
      </c>
      <c r="O122" s="31">
        <f>1539</f>
        <v>1539</v>
      </c>
      <c r="P122" s="32" t="s">
        <v>266</v>
      </c>
      <c r="Q122" s="31">
        <f>1583</f>
        <v>1583</v>
      </c>
      <c r="R122" s="32" t="s">
        <v>94</v>
      </c>
      <c r="S122" s="33">
        <f>1589.75</f>
        <v>1589.75</v>
      </c>
      <c r="T122" s="30">
        <f>98278</f>
        <v>98278</v>
      </c>
      <c r="U122" s="30" t="str">
        <f>"－"</f>
        <v>－</v>
      </c>
      <c r="V122" s="30">
        <f>155820148</f>
        <v>155820148</v>
      </c>
      <c r="W122" s="30" t="str">
        <f>"－"</f>
        <v>－</v>
      </c>
      <c r="X122" s="34">
        <f>20</f>
        <v>20</v>
      </c>
    </row>
    <row r="123" spans="1:24" x14ac:dyDescent="0.15">
      <c r="A123" s="25" t="s">
        <v>966</v>
      </c>
      <c r="B123" s="25" t="s">
        <v>403</v>
      </c>
      <c r="C123" s="25" t="s">
        <v>404</v>
      </c>
      <c r="D123" s="25" t="s">
        <v>405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18150</f>
        <v>18150</v>
      </c>
      <c r="L123" s="32" t="s">
        <v>904</v>
      </c>
      <c r="M123" s="31">
        <f>18350</f>
        <v>18350</v>
      </c>
      <c r="N123" s="32" t="s">
        <v>810</v>
      </c>
      <c r="O123" s="31">
        <f>17195</f>
        <v>17195</v>
      </c>
      <c r="P123" s="32" t="s">
        <v>266</v>
      </c>
      <c r="Q123" s="31">
        <f>17520</f>
        <v>17520</v>
      </c>
      <c r="R123" s="32" t="s">
        <v>94</v>
      </c>
      <c r="S123" s="33">
        <f>17704.25</f>
        <v>17704.25</v>
      </c>
      <c r="T123" s="30">
        <f>22095</f>
        <v>22095</v>
      </c>
      <c r="U123" s="30">
        <f>4220</f>
        <v>4220</v>
      </c>
      <c r="V123" s="30">
        <f>389026555</f>
        <v>389026555</v>
      </c>
      <c r="W123" s="30">
        <f>74170280</f>
        <v>74170280</v>
      </c>
      <c r="X123" s="34">
        <f>20</f>
        <v>20</v>
      </c>
    </row>
    <row r="124" spans="1:24" x14ac:dyDescent="0.15">
      <c r="A124" s="25" t="s">
        <v>966</v>
      </c>
      <c r="B124" s="25" t="s">
        <v>406</v>
      </c>
      <c r="C124" s="25" t="s">
        <v>407</v>
      </c>
      <c r="D124" s="25" t="s">
        <v>408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2053.5</f>
        <v>2053.5</v>
      </c>
      <c r="L124" s="32" t="s">
        <v>904</v>
      </c>
      <c r="M124" s="31">
        <f>2103</f>
        <v>2103</v>
      </c>
      <c r="N124" s="32" t="s">
        <v>811</v>
      </c>
      <c r="O124" s="31">
        <f>1989</f>
        <v>1989</v>
      </c>
      <c r="P124" s="32" t="s">
        <v>87</v>
      </c>
      <c r="Q124" s="31">
        <f>2019</f>
        <v>2019</v>
      </c>
      <c r="R124" s="32" t="s">
        <v>94</v>
      </c>
      <c r="S124" s="33">
        <f>2035.03</f>
        <v>2035.03</v>
      </c>
      <c r="T124" s="30">
        <f>3410070</f>
        <v>3410070</v>
      </c>
      <c r="U124" s="30">
        <f>1015180</f>
        <v>1015180</v>
      </c>
      <c r="V124" s="30">
        <f>6954705029</f>
        <v>6954705029</v>
      </c>
      <c r="W124" s="30">
        <f>2069772744</f>
        <v>2069772744</v>
      </c>
      <c r="X124" s="34">
        <f>20</f>
        <v>20</v>
      </c>
    </row>
    <row r="125" spans="1:24" x14ac:dyDescent="0.15">
      <c r="A125" s="25" t="s">
        <v>966</v>
      </c>
      <c r="B125" s="25" t="s">
        <v>409</v>
      </c>
      <c r="C125" s="25" t="s">
        <v>410</v>
      </c>
      <c r="D125" s="25" t="s">
        <v>411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10</v>
      </c>
      <c r="K125" s="31">
        <f>1703</f>
        <v>1703</v>
      </c>
      <c r="L125" s="32" t="s">
        <v>904</v>
      </c>
      <c r="M125" s="31">
        <f>1703</f>
        <v>1703</v>
      </c>
      <c r="N125" s="32" t="s">
        <v>904</v>
      </c>
      <c r="O125" s="31">
        <f>1641</f>
        <v>1641</v>
      </c>
      <c r="P125" s="32" t="s">
        <v>816</v>
      </c>
      <c r="Q125" s="31">
        <f>1641</f>
        <v>1641</v>
      </c>
      <c r="R125" s="32" t="s">
        <v>816</v>
      </c>
      <c r="S125" s="33">
        <f>1672</f>
        <v>1672</v>
      </c>
      <c r="T125" s="30">
        <f>30</f>
        <v>30</v>
      </c>
      <c r="U125" s="30" t="str">
        <f>"－"</f>
        <v>－</v>
      </c>
      <c r="V125" s="30">
        <f>49960</f>
        <v>49960</v>
      </c>
      <c r="W125" s="30" t="str">
        <f>"－"</f>
        <v>－</v>
      </c>
      <c r="X125" s="34">
        <f>2</f>
        <v>2</v>
      </c>
    </row>
    <row r="126" spans="1:24" x14ac:dyDescent="0.15">
      <c r="A126" s="25" t="s">
        <v>966</v>
      </c>
      <c r="B126" s="25" t="s">
        <v>412</v>
      </c>
      <c r="C126" s="25" t="s">
        <v>413</v>
      </c>
      <c r="D126" s="25" t="s">
        <v>414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</v>
      </c>
      <c r="K126" s="31">
        <f>2043</f>
        <v>2043</v>
      </c>
      <c r="L126" s="32" t="s">
        <v>904</v>
      </c>
      <c r="M126" s="31">
        <f>2099</f>
        <v>2099</v>
      </c>
      <c r="N126" s="32" t="s">
        <v>811</v>
      </c>
      <c r="O126" s="31">
        <f>2005.5</f>
        <v>2005.5</v>
      </c>
      <c r="P126" s="32" t="s">
        <v>87</v>
      </c>
      <c r="Q126" s="31">
        <f>2030.5</f>
        <v>2030.5</v>
      </c>
      <c r="R126" s="32" t="s">
        <v>94</v>
      </c>
      <c r="S126" s="33">
        <f>2039.88</f>
        <v>2039.88</v>
      </c>
      <c r="T126" s="30">
        <f>1054320</f>
        <v>1054320</v>
      </c>
      <c r="U126" s="30">
        <f>100000</f>
        <v>100000</v>
      </c>
      <c r="V126" s="30">
        <f>2152771325</f>
        <v>2152771325</v>
      </c>
      <c r="W126" s="30">
        <f>202795000</f>
        <v>202795000</v>
      </c>
      <c r="X126" s="34">
        <f>20</f>
        <v>20</v>
      </c>
    </row>
    <row r="127" spans="1:24" x14ac:dyDescent="0.15">
      <c r="A127" s="25" t="s">
        <v>966</v>
      </c>
      <c r="B127" s="25" t="s">
        <v>415</v>
      </c>
      <c r="C127" s="25" t="s">
        <v>416</v>
      </c>
      <c r="D127" s="25" t="s">
        <v>417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17870</f>
        <v>17870</v>
      </c>
      <c r="L127" s="32" t="s">
        <v>904</v>
      </c>
      <c r="M127" s="31">
        <f>17995</f>
        <v>17995</v>
      </c>
      <c r="N127" s="32" t="s">
        <v>904</v>
      </c>
      <c r="O127" s="31">
        <f>17095</f>
        <v>17095</v>
      </c>
      <c r="P127" s="32" t="s">
        <v>56</v>
      </c>
      <c r="Q127" s="31">
        <f>17315</f>
        <v>17315</v>
      </c>
      <c r="R127" s="32" t="s">
        <v>94</v>
      </c>
      <c r="S127" s="33">
        <f>17561.07</f>
        <v>17561.07</v>
      </c>
      <c r="T127" s="30">
        <f>325</f>
        <v>325</v>
      </c>
      <c r="U127" s="30" t="str">
        <f>"－"</f>
        <v>－</v>
      </c>
      <c r="V127" s="30">
        <f>5711390</f>
        <v>5711390</v>
      </c>
      <c r="W127" s="30" t="str">
        <f>"－"</f>
        <v>－</v>
      </c>
      <c r="X127" s="34">
        <f>14</f>
        <v>14</v>
      </c>
    </row>
    <row r="128" spans="1:24" x14ac:dyDescent="0.15">
      <c r="A128" s="25" t="s">
        <v>966</v>
      </c>
      <c r="B128" s="25" t="s">
        <v>418</v>
      </c>
      <c r="C128" s="25" t="s">
        <v>419</v>
      </c>
      <c r="D128" s="25" t="s">
        <v>420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100</v>
      </c>
      <c r="K128" s="31">
        <f>167.5</f>
        <v>167.5</v>
      </c>
      <c r="L128" s="32" t="s">
        <v>904</v>
      </c>
      <c r="M128" s="31">
        <f>174.9</f>
        <v>174.9</v>
      </c>
      <c r="N128" s="32" t="s">
        <v>66</v>
      </c>
      <c r="O128" s="31">
        <f>164.8</f>
        <v>164.8</v>
      </c>
      <c r="P128" s="32" t="s">
        <v>70</v>
      </c>
      <c r="Q128" s="31">
        <f>170.5</f>
        <v>170.5</v>
      </c>
      <c r="R128" s="32" t="s">
        <v>94</v>
      </c>
      <c r="S128" s="33">
        <f>169.15</f>
        <v>169.15</v>
      </c>
      <c r="T128" s="30">
        <f>42649900</f>
        <v>42649900</v>
      </c>
      <c r="U128" s="30">
        <f>2700</f>
        <v>2700</v>
      </c>
      <c r="V128" s="30">
        <f>7239704840</f>
        <v>7239704840</v>
      </c>
      <c r="W128" s="30">
        <f>452910</f>
        <v>452910</v>
      </c>
      <c r="X128" s="34">
        <f>20</f>
        <v>20</v>
      </c>
    </row>
    <row r="129" spans="1:24" x14ac:dyDescent="0.15">
      <c r="A129" s="25" t="s">
        <v>966</v>
      </c>
      <c r="B129" s="25" t="s">
        <v>421</v>
      </c>
      <c r="C129" s="25" t="s">
        <v>422</v>
      </c>
      <c r="D129" s="25" t="s">
        <v>423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27050</f>
        <v>27050</v>
      </c>
      <c r="L129" s="32" t="s">
        <v>904</v>
      </c>
      <c r="M129" s="31">
        <f>27830</f>
        <v>27830</v>
      </c>
      <c r="N129" s="32" t="s">
        <v>266</v>
      </c>
      <c r="O129" s="31">
        <f>26685</f>
        <v>26685</v>
      </c>
      <c r="P129" s="32" t="s">
        <v>814</v>
      </c>
      <c r="Q129" s="31">
        <f>27645</f>
        <v>27645</v>
      </c>
      <c r="R129" s="32" t="s">
        <v>94</v>
      </c>
      <c r="S129" s="33">
        <f>27373.75</f>
        <v>27373.75</v>
      </c>
      <c r="T129" s="30">
        <f>2567</f>
        <v>2567</v>
      </c>
      <c r="U129" s="30" t="str">
        <f>"－"</f>
        <v>－</v>
      </c>
      <c r="V129" s="30">
        <f>70365230</f>
        <v>70365230</v>
      </c>
      <c r="W129" s="30" t="str">
        <f>"－"</f>
        <v>－</v>
      </c>
      <c r="X129" s="34">
        <f>20</f>
        <v>20</v>
      </c>
    </row>
    <row r="130" spans="1:24" x14ac:dyDescent="0.15">
      <c r="A130" s="25" t="s">
        <v>966</v>
      </c>
      <c r="B130" s="25" t="s">
        <v>424</v>
      </c>
      <c r="C130" s="25" t="s">
        <v>425</v>
      </c>
      <c r="D130" s="25" t="s">
        <v>426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12890</f>
        <v>12890</v>
      </c>
      <c r="L130" s="32" t="s">
        <v>904</v>
      </c>
      <c r="M130" s="31">
        <f>14195</f>
        <v>14195</v>
      </c>
      <c r="N130" s="32" t="s">
        <v>816</v>
      </c>
      <c r="O130" s="31">
        <f>12770</f>
        <v>12770</v>
      </c>
      <c r="P130" s="32" t="s">
        <v>70</v>
      </c>
      <c r="Q130" s="31">
        <f>13300</f>
        <v>13300</v>
      </c>
      <c r="R130" s="32" t="s">
        <v>94</v>
      </c>
      <c r="S130" s="33">
        <f>13365.5</f>
        <v>13365.5</v>
      </c>
      <c r="T130" s="30">
        <f>42366</f>
        <v>42366</v>
      </c>
      <c r="U130" s="30">
        <f>3</f>
        <v>3</v>
      </c>
      <c r="V130" s="30">
        <f>567161290</f>
        <v>567161290</v>
      </c>
      <c r="W130" s="30">
        <f>43090</f>
        <v>43090</v>
      </c>
      <c r="X130" s="34">
        <f>20</f>
        <v>20</v>
      </c>
    </row>
    <row r="131" spans="1:24" x14ac:dyDescent="0.15">
      <c r="A131" s="25" t="s">
        <v>966</v>
      </c>
      <c r="B131" s="25" t="s">
        <v>427</v>
      </c>
      <c r="C131" s="25" t="s">
        <v>428</v>
      </c>
      <c r="D131" s="25" t="s">
        <v>429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21140</f>
        <v>21140</v>
      </c>
      <c r="L131" s="32" t="s">
        <v>904</v>
      </c>
      <c r="M131" s="31">
        <f>21495</f>
        <v>21495</v>
      </c>
      <c r="N131" s="32" t="s">
        <v>811</v>
      </c>
      <c r="O131" s="31">
        <f>20100</f>
        <v>20100</v>
      </c>
      <c r="P131" s="32" t="s">
        <v>266</v>
      </c>
      <c r="Q131" s="31">
        <f>20670</f>
        <v>20670</v>
      </c>
      <c r="R131" s="32" t="s">
        <v>94</v>
      </c>
      <c r="S131" s="33">
        <f>20623.75</f>
        <v>20623.75</v>
      </c>
      <c r="T131" s="30">
        <f>846</f>
        <v>846</v>
      </c>
      <c r="U131" s="30" t="str">
        <f>"－"</f>
        <v>－</v>
      </c>
      <c r="V131" s="30">
        <f>17306115</f>
        <v>17306115</v>
      </c>
      <c r="W131" s="30" t="str">
        <f>"－"</f>
        <v>－</v>
      </c>
      <c r="X131" s="34">
        <f>20</f>
        <v>20</v>
      </c>
    </row>
    <row r="132" spans="1:24" x14ac:dyDescent="0.15">
      <c r="A132" s="25" t="s">
        <v>966</v>
      </c>
      <c r="B132" s="25" t="s">
        <v>430</v>
      </c>
      <c r="C132" s="25" t="s">
        <v>431</v>
      </c>
      <c r="D132" s="25" t="s">
        <v>432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25045</f>
        <v>25045</v>
      </c>
      <c r="L132" s="32" t="s">
        <v>904</v>
      </c>
      <c r="M132" s="31">
        <f>25600</f>
        <v>25600</v>
      </c>
      <c r="N132" s="32" t="s">
        <v>810</v>
      </c>
      <c r="O132" s="31">
        <f>23840</f>
        <v>23840</v>
      </c>
      <c r="P132" s="32" t="s">
        <v>814</v>
      </c>
      <c r="Q132" s="31">
        <f>24705</f>
        <v>24705</v>
      </c>
      <c r="R132" s="32" t="s">
        <v>94</v>
      </c>
      <c r="S132" s="33">
        <f>24581.75</f>
        <v>24581.75</v>
      </c>
      <c r="T132" s="30">
        <f>1656</f>
        <v>1656</v>
      </c>
      <c r="U132" s="30" t="str">
        <f>"－"</f>
        <v>－</v>
      </c>
      <c r="V132" s="30">
        <f>40976070</f>
        <v>40976070</v>
      </c>
      <c r="W132" s="30" t="str">
        <f>"－"</f>
        <v>－</v>
      </c>
      <c r="X132" s="34">
        <f>20</f>
        <v>20</v>
      </c>
    </row>
    <row r="133" spans="1:24" x14ac:dyDescent="0.15">
      <c r="A133" s="25" t="s">
        <v>966</v>
      </c>
      <c r="B133" s="25" t="s">
        <v>433</v>
      </c>
      <c r="C133" s="25" t="s">
        <v>434</v>
      </c>
      <c r="D133" s="25" t="s">
        <v>435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22515</f>
        <v>22515</v>
      </c>
      <c r="L133" s="32" t="s">
        <v>904</v>
      </c>
      <c r="M133" s="31">
        <f>23780</f>
        <v>23780</v>
      </c>
      <c r="N133" s="32" t="s">
        <v>94</v>
      </c>
      <c r="O133" s="31">
        <f>22450</f>
        <v>22450</v>
      </c>
      <c r="P133" s="32" t="s">
        <v>904</v>
      </c>
      <c r="Q133" s="31">
        <f>23715</f>
        <v>23715</v>
      </c>
      <c r="R133" s="32" t="s">
        <v>94</v>
      </c>
      <c r="S133" s="33">
        <f>23257.25</f>
        <v>23257.25</v>
      </c>
      <c r="T133" s="30">
        <f>3673</f>
        <v>3673</v>
      </c>
      <c r="U133" s="30" t="str">
        <f>"－"</f>
        <v>－</v>
      </c>
      <c r="V133" s="30">
        <f>85609665</f>
        <v>85609665</v>
      </c>
      <c r="W133" s="30" t="str">
        <f>"－"</f>
        <v>－</v>
      </c>
      <c r="X133" s="34">
        <f>20</f>
        <v>20</v>
      </c>
    </row>
    <row r="134" spans="1:24" x14ac:dyDescent="0.15">
      <c r="A134" s="25" t="s">
        <v>966</v>
      </c>
      <c r="B134" s="25" t="s">
        <v>436</v>
      </c>
      <c r="C134" s="25" t="s">
        <v>437</v>
      </c>
      <c r="D134" s="25" t="s">
        <v>438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24325</f>
        <v>24325</v>
      </c>
      <c r="L134" s="32" t="s">
        <v>904</v>
      </c>
      <c r="M134" s="31">
        <f>24520</f>
        <v>24520</v>
      </c>
      <c r="N134" s="32" t="s">
        <v>66</v>
      </c>
      <c r="O134" s="31">
        <f>22605</f>
        <v>22605</v>
      </c>
      <c r="P134" s="32" t="s">
        <v>813</v>
      </c>
      <c r="Q134" s="31">
        <f>24100</f>
        <v>24100</v>
      </c>
      <c r="R134" s="32" t="s">
        <v>94</v>
      </c>
      <c r="S134" s="33">
        <f>23633.25</f>
        <v>23633.25</v>
      </c>
      <c r="T134" s="30">
        <f>7067</f>
        <v>7067</v>
      </c>
      <c r="U134" s="30">
        <f>3</f>
        <v>3</v>
      </c>
      <c r="V134" s="30">
        <f>165172475</f>
        <v>165172475</v>
      </c>
      <c r="W134" s="30">
        <f>72035</f>
        <v>72035</v>
      </c>
      <c r="X134" s="34">
        <f>20</f>
        <v>20</v>
      </c>
    </row>
    <row r="135" spans="1:24" x14ac:dyDescent="0.15">
      <c r="A135" s="25" t="s">
        <v>966</v>
      </c>
      <c r="B135" s="25" t="s">
        <v>439</v>
      </c>
      <c r="C135" s="25" t="s">
        <v>440</v>
      </c>
      <c r="D135" s="25" t="s">
        <v>441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17890</f>
        <v>17890</v>
      </c>
      <c r="L135" s="32" t="s">
        <v>904</v>
      </c>
      <c r="M135" s="31">
        <f>18205</f>
        <v>18205</v>
      </c>
      <c r="N135" s="32" t="s">
        <v>66</v>
      </c>
      <c r="O135" s="31">
        <f>16550</f>
        <v>16550</v>
      </c>
      <c r="P135" s="32" t="s">
        <v>266</v>
      </c>
      <c r="Q135" s="31">
        <f>17245</f>
        <v>17245</v>
      </c>
      <c r="R135" s="32" t="s">
        <v>94</v>
      </c>
      <c r="S135" s="33">
        <f>17582.75</f>
        <v>17582.75</v>
      </c>
      <c r="T135" s="30">
        <f>13610</f>
        <v>13610</v>
      </c>
      <c r="U135" s="30">
        <f>5800</f>
        <v>5800</v>
      </c>
      <c r="V135" s="30">
        <f>236019255</f>
        <v>236019255</v>
      </c>
      <c r="W135" s="30">
        <f>99680900</f>
        <v>99680900</v>
      </c>
      <c r="X135" s="34">
        <f>20</f>
        <v>20</v>
      </c>
    </row>
    <row r="136" spans="1:24" x14ac:dyDescent="0.15">
      <c r="A136" s="25" t="s">
        <v>966</v>
      </c>
      <c r="B136" s="25" t="s">
        <v>442</v>
      </c>
      <c r="C136" s="25" t="s">
        <v>443</v>
      </c>
      <c r="D136" s="25" t="s">
        <v>444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39220</f>
        <v>39220</v>
      </c>
      <c r="L136" s="32" t="s">
        <v>904</v>
      </c>
      <c r="M136" s="31">
        <f>39780</f>
        <v>39780</v>
      </c>
      <c r="N136" s="32" t="s">
        <v>810</v>
      </c>
      <c r="O136" s="31">
        <f>36350</f>
        <v>36350</v>
      </c>
      <c r="P136" s="32" t="s">
        <v>266</v>
      </c>
      <c r="Q136" s="31">
        <f>37490</f>
        <v>37490</v>
      </c>
      <c r="R136" s="32" t="s">
        <v>94</v>
      </c>
      <c r="S136" s="33">
        <f>37735</f>
        <v>37735</v>
      </c>
      <c r="T136" s="30">
        <f>880</f>
        <v>880</v>
      </c>
      <c r="U136" s="30" t="str">
        <f>"－"</f>
        <v>－</v>
      </c>
      <c r="V136" s="30">
        <f>33132830</f>
        <v>33132830</v>
      </c>
      <c r="W136" s="30" t="str">
        <f>"－"</f>
        <v>－</v>
      </c>
      <c r="X136" s="34">
        <f>20</f>
        <v>20</v>
      </c>
    </row>
    <row r="137" spans="1:24" x14ac:dyDescent="0.15">
      <c r="A137" s="25" t="s">
        <v>966</v>
      </c>
      <c r="B137" s="25" t="s">
        <v>445</v>
      </c>
      <c r="C137" s="25" t="s">
        <v>446</v>
      </c>
      <c r="D137" s="25" t="s">
        <v>447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28190</f>
        <v>28190</v>
      </c>
      <c r="L137" s="32" t="s">
        <v>904</v>
      </c>
      <c r="M137" s="31">
        <f>29035</f>
        <v>29035</v>
      </c>
      <c r="N137" s="32" t="s">
        <v>810</v>
      </c>
      <c r="O137" s="31">
        <f>25860</f>
        <v>25860</v>
      </c>
      <c r="P137" s="32" t="s">
        <v>266</v>
      </c>
      <c r="Q137" s="31">
        <f>26865</f>
        <v>26865</v>
      </c>
      <c r="R137" s="32" t="s">
        <v>94</v>
      </c>
      <c r="S137" s="33">
        <f>27237.25</f>
        <v>27237.25</v>
      </c>
      <c r="T137" s="30">
        <f>3193</f>
        <v>3193</v>
      </c>
      <c r="U137" s="30" t="str">
        <f>"－"</f>
        <v>－</v>
      </c>
      <c r="V137" s="30">
        <f>87310640</f>
        <v>87310640</v>
      </c>
      <c r="W137" s="30" t="str">
        <f>"－"</f>
        <v>－</v>
      </c>
      <c r="X137" s="34">
        <f>20</f>
        <v>20</v>
      </c>
    </row>
    <row r="138" spans="1:24" x14ac:dyDescent="0.15">
      <c r="A138" s="25" t="s">
        <v>966</v>
      </c>
      <c r="B138" s="25" t="s">
        <v>448</v>
      </c>
      <c r="C138" s="25" t="s">
        <v>449</v>
      </c>
      <c r="D138" s="25" t="s">
        <v>450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28885</f>
        <v>28885</v>
      </c>
      <c r="L138" s="32" t="s">
        <v>904</v>
      </c>
      <c r="M138" s="31">
        <f>30000</f>
        <v>30000</v>
      </c>
      <c r="N138" s="32" t="s">
        <v>810</v>
      </c>
      <c r="O138" s="31">
        <f>28100</f>
        <v>28100</v>
      </c>
      <c r="P138" s="32" t="s">
        <v>266</v>
      </c>
      <c r="Q138" s="31">
        <f>28525</f>
        <v>28525</v>
      </c>
      <c r="R138" s="32" t="s">
        <v>94</v>
      </c>
      <c r="S138" s="33">
        <f>29080.75</f>
        <v>29080.75</v>
      </c>
      <c r="T138" s="30">
        <f>949</f>
        <v>949</v>
      </c>
      <c r="U138" s="30" t="str">
        <f>"－"</f>
        <v>－</v>
      </c>
      <c r="V138" s="30">
        <f>27678240</f>
        <v>27678240</v>
      </c>
      <c r="W138" s="30" t="str">
        <f>"－"</f>
        <v>－</v>
      </c>
      <c r="X138" s="34">
        <f>20</f>
        <v>20</v>
      </c>
    </row>
    <row r="139" spans="1:24" x14ac:dyDescent="0.15">
      <c r="A139" s="25" t="s">
        <v>966</v>
      </c>
      <c r="B139" s="25" t="s">
        <v>451</v>
      </c>
      <c r="C139" s="25" t="s">
        <v>452</v>
      </c>
      <c r="D139" s="25" t="s">
        <v>453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5736</f>
        <v>5736</v>
      </c>
      <c r="L139" s="32" t="s">
        <v>904</v>
      </c>
      <c r="M139" s="31">
        <f>6130</f>
        <v>6130</v>
      </c>
      <c r="N139" s="32" t="s">
        <v>94</v>
      </c>
      <c r="O139" s="31">
        <f>5586</f>
        <v>5586</v>
      </c>
      <c r="P139" s="32" t="s">
        <v>70</v>
      </c>
      <c r="Q139" s="31">
        <f>6130</f>
        <v>6130</v>
      </c>
      <c r="R139" s="32" t="s">
        <v>94</v>
      </c>
      <c r="S139" s="33">
        <f>5881.95</f>
        <v>5881.95</v>
      </c>
      <c r="T139" s="30">
        <f>37442</f>
        <v>37442</v>
      </c>
      <c r="U139" s="30">
        <f>8501</f>
        <v>8501</v>
      </c>
      <c r="V139" s="30">
        <f>220068730</f>
        <v>220068730</v>
      </c>
      <c r="W139" s="30">
        <f>50231940</f>
        <v>50231940</v>
      </c>
      <c r="X139" s="34">
        <f>20</f>
        <v>20</v>
      </c>
    </row>
    <row r="140" spans="1:24" x14ac:dyDescent="0.15">
      <c r="A140" s="25" t="s">
        <v>966</v>
      </c>
      <c r="B140" s="25" t="s">
        <v>454</v>
      </c>
      <c r="C140" s="25" t="s">
        <v>455</v>
      </c>
      <c r="D140" s="25" t="s">
        <v>456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15315</f>
        <v>15315</v>
      </c>
      <c r="L140" s="32" t="s">
        <v>904</v>
      </c>
      <c r="M140" s="31">
        <f>15340</f>
        <v>15340</v>
      </c>
      <c r="N140" s="32" t="s">
        <v>904</v>
      </c>
      <c r="O140" s="31">
        <f>14500</f>
        <v>14500</v>
      </c>
      <c r="P140" s="32" t="s">
        <v>813</v>
      </c>
      <c r="Q140" s="31">
        <f>15075</f>
        <v>15075</v>
      </c>
      <c r="R140" s="32" t="s">
        <v>94</v>
      </c>
      <c r="S140" s="33">
        <f>15008.5</f>
        <v>15008.5</v>
      </c>
      <c r="T140" s="30">
        <f>13576</f>
        <v>13576</v>
      </c>
      <c r="U140" s="30">
        <f>3502</f>
        <v>3502</v>
      </c>
      <c r="V140" s="30">
        <f>202761495</f>
        <v>202761495</v>
      </c>
      <c r="W140" s="30">
        <f>51546775</f>
        <v>51546775</v>
      </c>
      <c r="X140" s="34">
        <f>20</f>
        <v>20</v>
      </c>
    </row>
    <row r="141" spans="1:24" x14ac:dyDescent="0.15">
      <c r="A141" s="25" t="s">
        <v>966</v>
      </c>
      <c r="B141" s="25" t="s">
        <v>457</v>
      </c>
      <c r="C141" s="25" t="s">
        <v>458</v>
      </c>
      <c r="D141" s="25" t="s">
        <v>459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47850</f>
        <v>47850</v>
      </c>
      <c r="L141" s="32" t="s">
        <v>904</v>
      </c>
      <c r="M141" s="31">
        <f>48000</f>
        <v>48000</v>
      </c>
      <c r="N141" s="32" t="s">
        <v>904</v>
      </c>
      <c r="O141" s="31">
        <f>44950</f>
        <v>44950</v>
      </c>
      <c r="P141" s="32" t="s">
        <v>266</v>
      </c>
      <c r="Q141" s="31">
        <f>45990</f>
        <v>45990</v>
      </c>
      <c r="R141" s="32" t="s">
        <v>94</v>
      </c>
      <c r="S141" s="33">
        <f>46518.5</f>
        <v>46518.5</v>
      </c>
      <c r="T141" s="30">
        <f>8047</f>
        <v>8047</v>
      </c>
      <c r="U141" s="30">
        <f>1100</f>
        <v>1100</v>
      </c>
      <c r="V141" s="30">
        <f>374566490</f>
        <v>374566490</v>
      </c>
      <c r="W141" s="30">
        <f>51706600</f>
        <v>51706600</v>
      </c>
      <c r="X141" s="34">
        <f>20</f>
        <v>20</v>
      </c>
    </row>
    <row r="142" spans="1:24" x14ac:dyDescent="0.15">
      <c r="A142" s="25" t="s">
        <v>966</v>
      </c>
      <c r="B142" s="25" t="s">
        <v>460</v>
      </c>
      <c r="C142" s="25" t="s">
        <v>461</v>
      </c>
      <c r="D142" s="25" t="s">
        <v>462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21460</f>
        <v>21460</v>
      </c>
      <c r="L142" s="32" t="s">
        <v>904</v>
      </c>
      <c r="M142" s="31">
        <f>21685</f>
        <v>21685</v>
      </c>
      <c r="N142" s="32" t="s">
        <v>810</v>
      </c>
      <c r="O142" s="31">
        <f>20205</f>
        <v>20205</v>
      </c>
      <c r="P142" s="32" t="s">
        <v>266</v>
      </c>
      <c r="Q142" s="31">
        <f>20675</f>
        <v>20675</v>
      </c>
      <c r="R142" s="32" t="s">
        <v>94</v>
      </c>
      <c r="S142" s="33">
        <f>20913.25</f>
        <v>20913.25</v>
      </c>
      <c r="T142" s="30">
        <f>1465</f>
        <v>1465</v>
      </c>
      <c r="U142" s="30" t="str">
        <f>"－"</f>
        <v>－</v>
      </c>
      <c r="V142" s="30">
        <f>30557080</f>
        <v>30557080</v>
      </c>
      <c r="W142" s="30" t="str">
        <f>"－"</f>
        <v>－</v>
      </c>
      <c r="X142" s="34">
        <f>20</f>
        <v>20</v>
      </c>
    </row>
    <row r="143" spans="1:24" x14ac:dyDescent="0.15">
      <c r="A143" s="25" t="s">
        <v>966</v>
      </c>
      <c r="B143" s="25" t="s">
        <v>463</v>
      </c>
      <c r="C143" s="25" t="s">
        <v>464</v>
      </c>
      <c r="D143" s="25" t="s">
        <v>465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8754</f>
        <v>8754</v>
      </c>
      <c r="L143" s="32" t="s">
        <v>904</v>
      </c>
      <c r="M143" s="31">
        <f>9151</f>
        <v>9151</v>
      </c>
      <c r="N143" s="32" t="s">
        <v>66</v>
      </c>
      <c r="O143" s="31">
        <f>8638</f>
        <v>8638</v>
      </c>
      <c r="P143" s="32" t="s">
        <v>912</v>
      </c>
      <c r="Q143" s="31">
        <f>8910</f>
        <v>8910</v>
      </c>
      <c r="R143" s="32" t="s">
        <v>94</v>
      </c>
      <c r="S143" s="33">
        <f>8848.85</f>
        <v>8848.85</v>
      </c>
      <c r="T143" s="30">
        <f>12792</f>
        <v>12792</v>
      </c>
      <c r="U143" s="30" t="str">
        <f>"－"</f>
        <v>－</v>
      </c>
      <c r="V143" s="30">
        <f>113034399</f>
        <v>113034399</v>
      </c>
      <c r="W143" s="30" t="str">
        <f>"－"</f>
        <v>－</v>
      </c>
      <c r="X143" s="34">
        <f>20</f>
        <v>20</v>
      </c>
    </row>
    <row r="144" spans="1:24" x14ac:dyDescent="0.15">
      <c r="A144" s="25" t="s">
        <v>966</v>
      </c>
      <c r="B144" s="25" t="s">
        <v>466</v>
      </c>
      <c r="C144" s="25" t="s">
        <v>467</v>
      </c>
      <c r="D144" s="25" t="s">
        <v>468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14810</f>
        <v>14810</v>
      </c>
      <c r="L144" s="32" t="s">
        <v>904</v>
      </c>
      <c r="M144" s="31">
        <f>15135</f>
        <v>15135</v>
      </c>
      <c r="N144" s="32" t="s">
        <v>904</v>
      </c>
      <c r="O144" s="31">
        <f>14170</f>
        <v>14170</v>
      </c>
      <c r="P144" s="32" t="s">
        <v>70</v>
      </c>
      <c r="Q144" s="31">
        <f>14595</f>
        <v>14595</v>
      </c>
      <c r="R144" s="32" t="s">
        <v>94</v>
      </c>
      <c r="S144" s="33">
        <f>14574.5</f>
        <v>14574.5</v>
      </c>
      <c r="T144" s="30">
        <f>10176</f>
        <v>10176</v>
      </c>
      <c r="U144" s="30">
        <f>7000</f>
        <v>7000</v>
      </c>
      <c r="V144" s="30">
        <f>148020245</f>
        <v>148020245</v>
      </c>
      <c r="W144" s="30">
        <f>102004000</f>
        <v>102004000</v>
      </c>
      <c r="X144" s="34">
        <f>20</f>
        <v>20</v>
      </c>
    </row>
    <row r="145" spans="1:24" x14ac:dyDescent="0.15">
      <c r="A145" s="25" t="s">
        <v>966</v>
      </c>
      <c r="B145" s="25" t="s">
        <v>469</v>
      </c>
      <c r="C145" s="25" t="s">
        <v>470</v>
      </c>
      <c r="D145" s="25" t="s">
        <v>471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29300</f>
        <v>29300</v>
      </c>
      <c r="L145" s="32" t="s">
        <v>904</v>
      </c>
      <c r="M145" s="31">
        <f>30250</f>
        <v>30250</v>
      </c>
      <c r="N145" s="32" t="s">
        <v>66</v>
      </c>
      <c r="O145" s="31">
        <f>28750</f>
        <v>28750</v>
      </c>
      <c r="P145" s="32" t="s">
        <v>70</v>
      </c>
      <c r="Q145" s="31">
        <f>29650</f>
        <v>29650</v>
      </c>
      <c r="R145" s="32" t="s">
        <v>94</v>
      </c>
      <c r="S145" s="33">
        <f>29545</f>
        <v>29545</v>
      </c>
      <c r="T145" s="30">
        <f>777</f>
        <v>777</v>
      </c>
      <c r="U145" s="30" t="str">
        <f>"－"</f>
        <v>－</v>
      </c>
      <c r="V145" s="30">
        <f>22942160</f>
        <v>22942160</v>
      </c>
      <c r="W145" s="30" t="str">
        <f>"－"</f>
        <v>－</v>
      </c>
      <c r="X145" s="34">
        <f>19</f>
        <v>19</v>
      </c>
    </row>
    <row r="146" spans="1:24" x14ac:dyDescent="0.15">
      <c r="A146" s="25" t="s">
        <v>966</v>
      </c>
      <c r="B146" s="25" t="s">
        <v>472</v>
      </c>
      <c r="C146" s="25" t="s">
        <v>473</v>
      </c>
      <c r="D146" s="25" t="s">
        <v>474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1217.5</f>
        <v>1217.5</v>
      </c>
      <c r="L146" s="32" t="s">
        <v>904</v>
      </c>
      <c r="M146" s="31">
        <f>1248</f>
        <v>1248</v>
      </c>
      <c r="N146" s="32" t="s">
        <v>66</v>
      </c>
      <c r="O146" s="31">
        <f>1182.5</f>
        <v>1182.5</v>
      </c>
      <c r="P146" s="32" t="s">
        <v>70</v>
      </c>
      <c r="Q146" s="31">
        <f>1226</f>
        <v>1226</v>
      </c>
      <c r="R146" s="32" t="s">
        <v>94</v>
      </c>
      <c r="S146" s="33">
        <f>1213.8</f>
        <v>1213.8</v>
      </c>
      <c r="T146" s="30">
        <f>901130</f>
        <v>901130</v>
      </c>
      <c r="U146" s="30">
        <f>489820</f>
        <v>489820</v>
      </c>
      <c r="V146" s="30">
        <f>1088093633</f>
        <v>1088093633</v>
      </c>
      <c r="W146" s="30">
        <f>592358683</f>
        <v>592358683</v>
      </c>
      <c r="X146" s="34">
        <f>20</f>
        <v>20</v>
      </c>
    </row>
    <row r="147" spans="1:24" x14ac:dyDescent="0.15">
      <c r="A147" s="25" t="s">
        <v>966</v>
      </c>
      <c r="B147" s="25" t="s">
        <v>475</v>
      </c>
      <c r="C147" s="25" t="s">
        <v>476</v>
      </c>
      <c r="D147" s="25" t="s">
        <v>477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2381</f>
        <v>2381</v>
      </c>
      <c r="L147" s="32" t="s">
        <v>904</v>
      </c>
      <c r="M147" s="31">
        <f>2418</f>
        <v>2418</v>
      </c>
      <c r="N147" s="32" t="s">
        <v>810</v>
      </c>
      <c r="O147" s="31">
        <f>2283</f>
        <v>2283</v>
      </c>
      <c r="P147" s="32" t="s">
        <v>94</v>
      </c>
      <c r="Q147" s="31">
        <f>2283</f>
        <v>2283</v>
      </c>
      <c r="R147" s="32" t="s">
        <v>94</v>
      </c>
      <c r="S147" s="33">
        <f>2321.95</f>
        <v>2321.9499999999998</v>
      </c>
      <c r="T147" s="30">
        <f>5390</f>
        <v>5390</v>
      </c>
      <c r="U147" s="30" t="str">
        <f>"－"</f>
        <v>－</v>
      </c>
      <c r="V147" s="30">
        <f>12696790</f>
        <v>12696790</v>
      </c>
      <c r="W147" s="30" t="str">
        <f>"－"</f>
        <v>－</v>
      </c>
      <c r="X147" s="34">
        <f>10</f>
        <v>10</v>
      </c>
    </row>
    <row r="148" spans="1:24" x14ac:dyDescent="0.15">
      <c r="A148" s="25" t="s">
        <v>966</v>
      </c>
      <c r="B148" s="25" t="s">
        <v>478</v>
      </c>
      <c r="C148" s="25" t="s">
        <v>479</v>
      </c>
      <c r="D148" s="25" t="s">
        <v>480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2523</f>
        <v>2523</v>
      </c>
      <c r="L148" s="32" t="s">
        <v>904</v>
      </c>
      <c r="M148" s="31">
        <f>2561.5</f>
        <v>2561.5</v>
      </c>
      <c r="N148" s="32" t="s">
        <v>810</v>
      </c>
      <c r="O148" s="31">
        <f>2408</f>
        <v>2408</v>
      </c>
      <c r="P148" s="32" t="s">
        <v>266</v>
      </c>
      <c r="Q148" s="31">
        <f>2468.5</f>
        <v>2468.5</v>
      </c>
      <c r="R148" s="32" t="s">
        <v>94</v>
      </c>
      <c r="S148" s="33">
        <f>2476.71</f>
        <v>2476.71</v>
      </c>
      <c r="T148" s="30">
        <f>2040</f>
        <v>2040</v>
      </c>
      <c r="U148" s="30" t="str">
        <f>"－"</f>
        <v>－</v>
      </c>
      <c r="V148" s="30">
        <f>5041820</f>
        <v>5041820</v>
      </c>
      <c r="W148" s="30" t="str">
        <f>"－"</f>
        <v>－</v>
      </c>
      <c r="X148" s="34">
        <f>14</f>
        <v>14</v>
      </c>
    </row>
    <row r="149" spans="1:24" x14ac:dyDescent="0.15">
      <c r="A149" s="25" t="s">
        <v>966</v>
      </c>
      <c r="B149" s="25" t="s">
        <v>481</v>
      </c>
      <c r="C149" s="25" t="s">
        <v>482</v>
      </c>
      <c r="D149" s="25" t="s">
        <v>483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1548.5</f>
        <v>1548.5</v>
      </c>
      <c r="L149" s="32" t="s">
        <v>904</v>
      </c>
      <c r="M149" s="31">
        <f>1554</f>
        <v>1554</v>
      </c>
      <c r="N149" s="32" t="s">
        <v>810</v>
      </c>
      <c r="O149" s="31">
        <f>1496</f>
        <v>1496</v>
      </c>
      <c r="P149" s="32" t="s">
        <v>94</v>
      </c>
      <c r="Q149" s="31">
        <f>1497</f>
        <v>1497</v>
      </c>
      <c r="R149" s="32" t="s">
        <v>94</v>
      </c>
      <c r="S149" s="33">
        <f>1521.2</f>
        <v>1521.2</v>
      </c>
      <c r="T149" s="30">
        <f>53440</f>
        <v>53440</v>
      </c>
      <c r="U149" s="30" t="str">
        <f>"－"</f>
        <v>－</v>
      </c>
      <c r="V149" s="30">
        <f>80427165</f>
        <v>80427165</v>
      </c>
      <c r="W149" s="30" t="str">
        <f>"－"</f>
        <v>－</v>
      </c>
      <c r="X149" s="34">
        <f>10</f>
        <v>10</v>
      </c>
    </row>
    <row r="150" spans="1:24" x14ac:dyDescent="0.15">
      <c r="A150" s="25" t="s">
        <v>966</v>
      </c>
      <c r="B150" s="25" t="s">
        <v>484</v>
      </c>
      <c r="C150" s="25" t="s">
        <v>485</v>
      </c>
      <c r="D150" s="25" t="s">
        <v>486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</v>
      </c>
      <c r="K150" s="31">
        <f>397.7</f>
        <v>397.7</v>
      </c>
      <c r="L150" s="32" t="s">
        <v>904</v>
      </c>
      <c r="M150" s="31">
        <f>413.9</f>
        <v>413.9</v>
      </c>
      <c r="N150" s="32" t="s">
        <v>66</v>
      </c>
      <c r="O150" s="31">
        <f>381.9</f>
        <v>381.9</v>
      </c>
      <c r="P150" s="32" t="s">
        <v>266</v>
      </c>
      <c r="Q150" s="31">
        <f>394.5</f>
        <v>394.5</v>
      </c>
      <c r="R150" s="32" t="s">
        <v>94</v>
      </c>
      <c r="S150" s="33">
        <f>400.09</f>
        <v>400.09</v>
      </c>
      <c r="T150" s="30">
        <f>230020180</f>
        <v>230020180</v>
      </c>
      <c r="U150" s="30">
        <f>142684460</f>
        <v>142684460</v>
      </c>
      <c r="V150" s="30">
        <f>92256343140</f>
        <v>92256343140</v>
      </c>
      <c r="W150" s="30">
        <f>57436190327</f>
        <v>57436190327</v>
      </c>
      <c r="X150" s="34">
        <f>20</f>
        <v>20</v>
      </c>
    </row>
    <row r="151" spans="1:24" x14ac:dyDescent="0.15">
      <c r="A151" s="25" t="s">
        <v>966</v>
      </c>
      <c r="B151" s="25" t="s">
        <v>487</v>
      </c>
      <c r="C151" s="25" t="s">
        <v>488</v>
      </c>
      <c r="D151" s="25" t="s">
        <v>489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2690</f>
        <v>2690</v>
      </c>
      <c r="L151" s="32" t="s">
        <v>904</v>
      </c>
      <c r="M151" s="31">
        <f>2769</f>
        <v>2769</v>
      </c>
      <c r="N151" s="32" t="s">
        <v>94</v>
      </c>
      <c r="O151" s="31">
        <f>2657</f>
        <v>2657</v>
      </c>
      <c r="P151" s="32" t="s">
        <v>821</v>
      </c>
      <c r="Q151" s="31">
        <f>2764</f>
        <v>2764</v>
      </c>
      <c r="R151" s="32" t="s">
        <v>94</v>
      </c>
      <c r="S151" s="33">
        <f>2697.1</f>
        <v>2697.1</v>
      </c>
      <c r="T151" s="30">
        <f>1377014</f>
        <v>1377014</v>
      </c>
      <c r="U151" s="30">
        <f>671918</f>
        <v>671918</v>
      </c>
      <c r="V151" s="30">
        <f>3716682588</f>
        <v>3716682588</v>
      </c>
      <c r="W151" s="30">
        <f>1811515952</f>
        <v>1811515952</v>
      </c>
      <c r="X151" s="34">
        <f>20</f>
        <v>20</v>
      </c>
    </row>
    <row r="152" spans="1:24" x14ac:dyDescent="0.15">
      <c r="A152" s="25" t="s">
        <v>966</v>
      </c>
      <c r="B152" s="25" t="s">
        <v>490</v>
      </c>
      <c r="C152" s="25" t="s">
        <v>491</v>
      </c>
      <c r="D152" s="25" t="s">
        <v>492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3460</f>
        <v>3460</v>
      </c>
      <c r="L152" s="32" t="s">
        <v>904</v>
      </c>
      <c r="M152" s="31">
        <f>3590</f>
        <v>3590</v>
      </c>
      <c r="N152" s="32" t="s">
        <v>66</v>
      </c>
      <c r="O152" s="31">
        <f>3315</f>
        <v>3315</v>
      </c>
      <c r="P152" s="32" t="s">
        <v>266</v>
      </c>
      <c r="Q152" s="31">
        <f>3425</f>
        <v>3425</v>
      </c>
      <c r="R152" s="32" t="s">
        <v>94</v>
      </c>
      <c r="S152" s="33">
        <f>3475.25</f>
        <v>3475.25</v>
      </c>
      <c r="T152" s="30">
        <f>53136</f>
        <v>53136</v>
      </c>
      <c r="U152" s="30">
        <f>1442</f>
        <v>1442</v>
      </c>
      <c r="V152" s="30">
        <f>183280104</f>
        <v>183280104</v>
      </c>
      <c r="W152" s="30">
        <f>5004989</f>
        <v>5004989</v>
      </c>
      <c r="X152" s="34">
        <f>20</f>
        <v>20</v>
      </c>
    </row>
    <row r="153" spans="1:24" x14ac:dyDescent="0.15">
      <c r="A153" s="25" t="s">
        <v>966</v>
      </c>
      <c r="B153" s="25" t="s">
        <v>493</v>
      </c>
      <c r="C153" s="25" t="s">
        <v>494</v>
      </c>
      <c r="D153" s="25" t="s">
        <v>495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2264</f>
        <v>2264</v>
      </c>
      <c r="L153" s="32" t="s">
        <v>904</v>
      </c>
      <c r="M153" s="31">
        <f>2357</f>
        <v>2357</v>
      </c>
      <c r="N153" s="32" t="s">
        <v>810</v>
      </c>
      <c r="O153" s="31">
        <f>2175</f>
        <v>2175</v>
      </c>
      <c r="P153" s="32" t="s">
        <v>266</v>
      </c>
      <c r="Q153" s="31">
        <f>2258</f>
        <v>2258</v>
      </c>
      <c r="R153" s="32" t="s">
        <v>94</v>
      </c>
      <c r="S153" s="33">
        <f>2295.45</f>
        <v>2295.4499999999998</v>
      </c>
      <c r="T153" s="30">
        <f>58166</f>
        <v>58166</v>
      </c>
      <c r="U153" s="30">
        <f>8985</f>
        <v>8985</v>
      </c>
      <c r="V153" s="30">
        <f>131362952</f>
        <v>131362952</v>
      </c>
      <c r="W153" s="30">
        <f>20005944</f>
        <v>20005944</v>
      </c>
      <c r="X153" s="34">
        <f>20</f>
        <v>20</v>
      </c>
    </row>
    <row r="154" spans="1:24" x14ac:dyDescent="0.15">
      <c r="A154" s="25" t="s">
        <v>966</v>
      </c>
      <c r="B154" s="25" t="s">
        <v>496</v>
      </c>
      <c r="C154" s="25" t="s">
        <v>497</v>
      </c>
      <c r="D154" s="25" t="s">
        <v>498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2920</f>
        <v>2920</v>
      </c>
      <c r="L154" s="32" t="s">
        <v>904</v>
      </c>
      <c r="M154" s="31">
        <f>3205</f>
        <v>3205</v>
      </c>
      <c r="N154" s="32" t="s">
        <v>66</v>
      </c>
      <c r="O154" s="31">
        <f>2914</f>
        <v>2914</v>
      </c>
      <c r="P154" s="32" t="s">
        <v>904</v>
      </c>
      <c r="Q154" s="31">
        <f>3090</f>
        <v>3090</v>
      </c>
      <c r="R154" s="32" t="s">
        <v>94</v>
      </c>
      <c r="S154" s="33">
        <f>3046.9</f>
        <v>3046.9</v>
      </c>
      <c r="T154" s="30">
        <f>338546</f>
        <v>338546</v>
      </c>
      <c r="U154" s="30">
        <f>69544</f>
        <v>69544</v>
      </c>
      <c r="V154" s="30">
        <f>1032723452</f>
        <v>1032723452</v>
      </c>
      <c r="W154" s="30">
        <f>210896208</f>
        <v>210896208</v>
      </c>
      <c r="X154" s="34">
        <f>20</f>
        <v>20</v>
      </c>
    </row>
    <row r="155" spans="1:24" x14ac:dyDescent="0.15">
      <c r="A155" s="25" t="s">
        <v>966</v>
      </c>
      <c r="B155" s="25" t="s">
        <v>499</v>
      </c>
      <c r="C155" s="25" t="s">
        <v>500</v>
      </c>
      <c r="D155" s="25" t="s">
        <v>501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11330</f>
        <v>11330</v>
      </c>
      <c r="L155" s="32" t="s">
        <v>904</v>
      </c>
      <c r="M155" s="31">
        <f>11600</f>
        <v>11600</v>
      </c>
      <c r="N155" s="32" t="s">
        <v>811</v>
      </c>
      <c r="O155" s="31">
        <f>10950</f>
        <v>10950</v>
      </c>
      <c r="P155" s="32" t="s">
        <v>87</v>
      </c>
      <c r="Q155" s="31">
        <f>11075</f>
        <v>11075</v>
      </c>
      <c r="R155" s="32" t="s">
        <v>94</v>
      </c>
      <c r="S155" s="33">
        <f>11141.5</f>
        <v>11141.5</v>
      </c>
      <c r="T155" s="30">
        <f>67640</f>
        <v>67640</v>
      </c>
      <c r="U155" s="30">
        <f>27497</f>
        <v>27497</v>
      </c>
      <c r="V155" s="30">
        <f>753293479</f>
        <v>753293479</v>
      </c>
      <c r="W155" s="30">
        <f>306426064</f>
        <v>306426064</v>
      </c>
      <c r="X155" s="34">
        <f>20</f>
        <v>20</v>
      </c>
    </row>
    <row r="156" spans="1:24" x14ac:dyDescent="0.15">
      <c r="A156" s="25" t="s">
        <v>966</v>
      </c>
      <c r="B156" s="25" t="s">
        <v>502</v>
      </c>
      <c r="C156" s="25" t="s">
        <v>503</v>
      </c>
      <c r="D156" s="25" t="s">
        <v>504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2576</f>
        <v>2576</v>
      </c>
      <c r="L156" s="32" t="s">
        <v>904</v>
      </c>
      <c r="M156" s="31">
        <f>2947</f>
        <v>2947</v>
      </c>
      <c r="N156" s="32" t="s">
        <v>816</v>
      </c>
      <c r="O156" s="31">
        <f>2510</f>
        <v>2510</v>
      </c>
      <c r="P156" s="32" t="s">
        <v>912</v>
      </c>
      <c r="Q156" s="31">
        <f>2776</f>
        <v>2776</v>
      </c>
      <c r="R156" s="32" t="s">
        <v>94</v>
      </c>
      <c r="S156" s="33">
        <f>2712.05</f>
        <v>2712.05</v>
      </c>
      <c r="T156" s="30">
        <f>16285265</f>
        <v>16285265</v>
      </c>
      <c r="U156" s="30">
        <f>1005</f>
        <v>1005</v>
      </c>
      <c r="V156" s="30">
        <f>44188378053</f>
        <v>44188378053</v>
      </c>
      <c r="W156" s="30">
        <f>2544198</f>
        <v>2544198</v>
      </c>
      <c r="X156" s="34">
        <f>20</f>
        <v>20</v>
      </c>
    </row>
    <row r="157" spans="1:24" x14ac:dyDescent="0.15">
      <c r="A157" s="25" t="s">
        <v>966</v>
      </c>
      <c r="B157" s="25" t="s">
        <v>505</v>
      </c>
      <c r="C157" s="25" t="s">
        <v>506</v>
      </c>
      <c r="D157" s="25" t="s">
        <v>507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22190</f>
        <v>22190</v>
      </c>
      <c r="L157" s="32" t="s">
        <v>904</v>
      </c>
      <c r="M157" s="31">
        <f>24485</f>
        <v>24485</v>
      </c>
      <c r="N157" s="32" t="s">
        <v>915</v>
      </c>
      <c r="O157" s="31">
        <f>21950</f>
        <v>21950</v>
      </c>
      <c r="P157" s="32" t="s">
        <v>811</v>
      </c>
      <c r="Q157" s="31">
        <f>22950</f>
        <v>22950</v>
      </c>
      <c r="R157" s="32" t="s">
        <v>94</v>
      </c>
      <c r="S157" s="33">
        <f>23002</f>
        <v>23002</v>
      </c>
      <c r="T157" s="30">
        <f>7928</f>
        <v>7928</v>
      </c>
      <c r="U157" s="30" t="str">
        <f>"－"</f>
        <v>－</v>
      </c>
      <c r="V157" s="30">
        <f>184155555</f>
        <v>184155555</v>
      </c>
      <c r="W157" s="30" t="str">
        <f>"－"</f>
        <v>－</v>
      </c>
      <c r="X157" s="34">
        <f>20</f>
        <v>20</v>
      </c>
    </row>
    <row r="158" spans="1:24" x14ac:dyDescent="0.15">
      <c r="A158" s="25" t="s">
        <v>966</v>
      </c>
      <c r="B158" s="25" t="s">
        <v>508</v>
      </c>
      <c r="C158" s="25" t="s">
        <v>509</v>
      </c>
      <c r="D158" s="25" t="s">
        <v>510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2788.5</f>
        <v>2788.5</v>
      </c>
      <c r="L158" s="32" t="s">
        <v>904</v>
      </c>
      <c r="M158" s="31">
        <f>3097</f>
        <v>3097</v>
      </c>
      <c r="N158" s="32" t="s">
        <v>816</v>
      </c>
      <c r="O158" s="31">
        <f>2771.5</f>
        <v>2771.5</v>
      </c>
      <c r="P158" s="32" t="s">
        <v>94</v>
      </c>
      <c r="Q158" s="31">
        <f>2783</f>
        <v>2783</v>
      </c>
      <c r="R158" s="32" t="s">
        <v>94</v>
      </c>
      <c r="S158" s="33">
        <f>2898.63</f>
        <v>2898.63</v>
      </c>
      <c r="T158" s="30">
        <f>61110</f>
        <v>61110</v>
      </c>
      <c r="U158" s="30" t="str">
        <f>"－"</f>
        <v>－</v>
      </c>
      <c r="V158" s="30">
        <f>178943400</f>
        <v>178943400</v>
      </c>
      <c r="W158" s="30" t="str">
        <f>"－"</f>
        <v>－</v>
      </c>
      <c r="X158" s="34">
        <f>20</f>
        <v>20</v>
      </c>
    </row>
    <row r="159" spans="1:24" x14ac:dyDescent="0.15">
      <c r="A159" s="25" t="s">
        <v>966</v>
      </c>
      <c r="B159" s="25" t="s">
        <v>511</v>
      </c>
      <c r="C159" s="25" t="s">
        <v>512</v>
      </c>
      <c r="D159" s="25" t="s">
        <v>513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11160</f>
        <v>11160</v>
      </c>
      <c r="L159" s="32" t="s">
        <v>904</v>
      </c>
      <c r="M159" s="31">
        <f>12255</f>
        <v>12255</v>
      </c>
      <c r="N159" s="32" t="s">
        <v>816</v>
      </c>
      <c r="O159" s="31">
        <f>10900</f>
        <v>10900</v>
      </c>
      <c r="P159" s="32" t="s">
        <v>70</v>
      </c>
      <c r="Q159" s="31">
        <f>11095</f>
        <v>11095</v>
      </c>
      <c r="R159" s="32" t="s">
        <v>94</v>
      </c>
      <c r="S159" s="33">
        <f>11404.5</f>
        <v>11404.5</v>
      </c>
      <c r="T159" s="30">
        <f>14292</f>
        <v>14292</v>
      </c>
      <c r="U159" s="30" t="str">
        <f>"－"</f>
        <v>－</v>
      </c>
      <c r="V159" s="30">
        <f>166261635</f>
        <v>166261635</v>
      </c>
      <c r="W159" s="30" t="str">
        <f>"－"</f>
        <v>－</v>
      </c>
      <c r="X159" s="34">
        <f>20</f>
        <v>20</v>
      </c>
    </row>
    <row r="160" spans="1:24" x14ac:dyDescent="0.15">
      <c r="A160" s="25" t="s">
        <v>966</v>
      </c>
      <c r="B160" s="25" t="s">
        <v>514</v>
      </c>
      <c r="C160" s="25" t="s">
        <v>515</v>
      </c>
      <c r="D160" s="25" t="s">
        <v>516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</v>
      </c>
      <c r="K160" s="31">
        <f>25355</f>
        <v>25355</v>
      </c>
      <c r="L160" s="32" t="s">
        <v>904</v>
      </c>
      <c r="M160" s="31">
        <f>29365</f>
        <v>29365</v>
      </c>
      <c r="N160" s="32" t="s">
        <v>908</v>
      </c>
      <c r="O160" s="31">
        <f>25200</f>
        <v>25200</v>
      </c>
      <c r="P160" s="32" t="s">
        <v>70</v>
      </c>
      <c r="Q160" s="31">
        <f>26730</f>
        <v>26730</v>
      </c>
      <c r="R160" s="32" t="s">
        <v>94</v>
      </c>
      <c r="S160" s="33">
        <f>27260.5</f>
        <v>27260.5</v>
      </c>
      <c r="T160" s="30">
        <f>12814</f>
        <v>12814</v>
      </c>
      <c r="U160" s="30" t="str">
        <f>"－"</f>
        <v>－</v>
      </c>
      <c r="V160" s="30">
        <f>351512470</f>
        <v>351512470</v>
      </c>
      <c r="W160" s="30" t="str">
        <f>"－"</f>
        <v>－</v>
      </c>
      <c r="X160" s="34">
        <f>20</f>
        <v>20</v>
      </c>
    </row>
    <row r="161" spans="1:24" x14ac:dyDescent="0.15">
      <c r="A161" s="25" t="s">
        <v>966</v>
      </c>
      <c r="B161" s="25" t="s">
        <v>517</v>
      </c>
      <c r="C161" s="25" t="s">
        <v>518</v>
      </c>
      <c r="D161" s="25" t="s">
        <v>519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</v>
      </c>
      <c r="K161" s="31">
        <f>18600</f>
        <v>18600</v>
      </c>
      <c r="L161" s="32" t="s">
        <v>904</v>
      </c>
      <c r="M161" s="31">
        <f>20850</f>
        <v>20850</v>
      </c>
      <c r="N161" s="32" t="s">
        <v>816</v>
      </c>
      <c r="O161" s="31">
        <f>18510</f>
        <v>18510</v>
      </c>
      <c r="P161" s="32" t="s">
        <v>904</v>
      </c>
      <c r="Q161" s="31">
        <f>19010</f>
        <v>19010</v>
      </c>
      <c r="R161" s="32" t="s">
        <v>94</v>
      </c>
      <c r="S161" s="33">
        <f>19666.58</f>
        <v>19666.580000000002</v>
      </c>
      <c r="T161" s="30">
        <f>553</f>
        <v>553</v>
      </c>
      <c r="U161" s="30" t="str">
        <f>"－"</f>
        <v>－</v>
      </c>
      <c r="V161" s="30">
        <f>10855065</f>
        <v>10855065</v>
      </c>
      <c r="W161" s="30" t="str">
        <f>"－"</f>
        <v>－</v>
      </c>
      <c r="X161" s="34">
        <f>19</f>
        <v>19</v>
      </c>
    </row>
    <row r="162" spans="1:24" x14ac:dyDescent="0.15">
      <c r="A162" s="25" t="s">
        <v>966</v>
      </c>
      <c r="B162" s="25" t="s">
        <v>520</v>
      </c>
      <c r="C162" s="25" t="s">
        <v>521</v>
      </c>
      <c r="D162" s="25" t="s">
        <v>522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51380</f>
        <v>51380</v>
      </c>
      <c r="L162" s="32" t="s">
        <v>904</v>
      </c>
      <c r="M162" s="31">
        <f>52100</f>
        <v>52100</v>
      </c>
      <c r="N162" s="32" t="s">
        <v>87</v>
      </c>
      <c r="O162" s="31">
        <f>50880</f>
        <v>50880</v>
      </c>
      <c r="P162" s="32" t="s">
        <v>912</v>
      </c>
      <c r="Q162" s="31">
        <f>52000</f>
        <v>52000</v>
      </c>
      <c r="R162" s="32" t="s">
        <v>94</v>
      </c>
      <c r="S162" s="33">
        <f>51472.5</f>
        <v>51472.5</v>
      </c>
      <c r="T162" s="30">
        <f>7360</f>
        <v>7360</v>
      </c>
      <c r="U162" s="30">
        <f>60</f>
        <v>60</v>
      </c>
      <c r="V162" s="30">
        <f>378372100</f>
        <v>378372100</v>
      </c>
      <c r="W162" s="30">
        <f>3085500</f>
        <v>3085500</v>
      </c>
      <c r="X162" s="34">
        <f>20</f>
        <v>20</v>
      </c>
    </row>
    <row r="163" spans="1:24" x14ac:dyDescent="0.15">
      <c r="A163" s="25" t="s">
        <v>966</v>
      </c>
      <c r="B163" s="25" t="s">
        <v>523</v>
      </c>
      <c r="C163" s="25" t="s">
        <v>524</v>
      </c>
      <c r="D163" s="25" t="s">
        <v>525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246.7</f>
        <v>246.7</v>
      </c>
      <c r="L163" s="32" t="s">
        <v>904</v>
      </c>
      <c r="M163" s="31">
        <f>260.7</f>
        <v>260.7</v>
      </c>
      <c r="N163" s="32" t="s">
        <v>810</v>
      </c>
      <c r="O163" s="31">
        <f>243.5</f>
        <v>243.5</v>
      </c>
      <c r="P163" s="32" t="s">
        <v>266</v>
      </c>
      <c r="Q163" s="31">
        <f>254.4</f>
        <v>254.4</v>
      </c>
      <c r="R163" s="32" t="s">
        <v>94</v>
      </c>
      <c r="S163" s="33">
        <f>253.42</f>
        <v>253.42</v>
      </c>
      <c r="T163" s="30">
        <f>13766600</f>
        <v>13766600</v>
      </c>
      <c r="U163" s="30">
        <f>1200</f>
        <v>1200</v>
      </c>
      <c r="V163" s="30">
        <f>3480334690</f>
        <v>3480334690</v>
      </c>
      <c r="W163" s="30">
        <f>305810</f>
        <v>305810</v>
      </c>
      <c r="X163" s="34">
        <f>20</f>
        <v>20</v>
      </c>
    </row>
    <row r="164" spans="1:24" x14ac:dyDescent="0.15">
      <c r="A164" s="25" t="s">
        <v>966</v>
      </c>
      <c r="B164" s="25" t="s">
        <v>526</v>
      </c>
      <c r="C164" s="25" t="s">
        <v>527</v>
      </c>
      <c r="D164" s="25" t="s">
        <v>528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36740</f>
        <v>36740</v>
      </c>
      <c r="L164" s="32" t="s">
        <v>904</v>
      </c>
      <c r="M164" s="31">
        <f>39390</f>
        <v>39390</v>
      </c>
      <c r="N164" s="32" t="s">
        <v>66</v>
      </c>
      <c r="O164" s="31">
        <f>36580</f>
        <v>36580</v>
      </c>
      <c r="P164" s="32" t="s">
        <v>904</v>
      </c>
      <c r="Q164" s="31">
        <f>37970</f>
        <v>37970</v>
      </c>
      <c r="R164" s="32" t="s">
        <v>94</v>
      </c>
      <c r="S164" s="33">
        <f>37565</f>
        <v>37565</v>
      </c>
      <c r="T164" s="30">
        <f>7020</f>
        <v>7020</v>
      </c>
      <c r="U164" s="30">
        <f>40</f>
        <v>40</v>
      </c>
      <c r="V164" s="30">
        <f>263432000</f>
        <v>263432000</v>
      </c>
      <c r="W164" s="30">
        <f>1488200</f>
        <v>1488200</v>
      </c>
      <c r="X164" s="34">
        <f>20</f>
        <v>20</v>
      </c>
    </row>
    <row r="165" spans="1:24" x14ac:dyDescent="0.15">
      <c r="A165" s="25" t="s">
        <v>966</v>
      </c>
      <c r="B165" s="25" t="s">
        <v>529</v>
      </c>
      <c r="C165" s="25" t="s">
        <v>530</v>
      </c>
      <c r="D165" s="25" t="s">
        <v>531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3928</f>
        <v>3928</v>
      </c>
      <c r="L165" s="32" t="s">
        <v>904</v>
      </c>
      <c r="M165" s="31">
        <f>4096</f>
        <v>4096</v>
      </c>
      <c r="N165" s="32" t="s">
        <v>87</v>
      </c>
      <c r="O165" s="31">
        <f>3778</f>
        <v>3778</v>
      </c>
      <c r="P165" s="32" t="s">
        <v>266</v>
      </c>
      <c r="Q165" s="31">
        <f>3902</f>
        <v>3902</v>
      </c>
      <c r="R165" s="32" t="s">
        <v>94</v>
      </c>
      <c r="S165" s="33">
        <f>3961.95</f>
        <v>3961.95</v>
      </c>
      <c r="T165" s="30">
        <f>111590</f>
        <v>111590</v>
      </c>
      <c r="U165" s="30" t="str">
        <f t="shared" ref="U165:U172" si="3">"－"</f>
        <v>－</v>
      </c>
      <c r="V165" s="30">
        <f>441102820</f>
        <v>441102820</v>
      </c>
      <c r="W165" s="30" t="str">
        <f t="shared" ref="W165:W172" si="4">"－"</f>
        <v>－</v>
      </c>
      <c r="X165" s="34">
        <f>20</f>
        <v>20</v>
      </c>
    </row>
    <row r="166" spans="1:24" x14ac:dyDescent="0.15">
      <c r="A166" s="25" t="s">
        <v>966</v>
      </c>
      <c r="B166" s="25" t="s">
        <v>532</v>
      </c>
      <c r="C166" s="25" t="s">
        <v>533</v>
      </c>
      <c r="D166" s="25" t="s">
        <v>534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1739.5</f>
        <v>1739.5</v>
      </c>
      <c r="L166" s="32" t="s">
        <v>904</v>
      </c>
      <c r="M166" s="31">
        <f>1799</f>
        <v>1799</v>
      </c>
      <c r="N166" s="32" t="s">
        <v>810</v>
      </c>
      <c r="O166" s="31">
        <f>1648.5</f>
        <v>1648.5</v>
      </c>
      <c r="P166" s="32" t="s">
        <v>266</v>
      </c>
      <c r="Q166" s="31">
        <f>1695</f>
        <v>1695</v>
      </c>
      <c r="R166" s="32" t="s">
        <v>94</v>
      </c>
      <c r="S166" s="33">
        <f>1744.18</f>
        <v>1744.18</v>
      </c>
      <c r="T166" s="30">
        <f>100510</f>
        <v>100510</v>
      </c>
      <c r="U166" s="30" t="str">
        <f t="shared" si="3"/>
        <v>－</v>
      </c>
      <c r="V166" s="30">
        <f>172603000</f>
        <v>172603000</v>
      </c>
      <c r="W166" s="30" t="str">
        <f t="shared" si="4"/>
        <v>－</v>
      </c>
      <c r="X166" s="34">
        <f>20</f>
        <v>20</v>
      </c>
    </row>
    <row r="167" spans="1:24" x14ac:dyDescent="0.15">
      <c r="A167" s="25" t="s">
        <v>966</v>
      </c>
      <c r="B167" s="25" t="s">
        <v>535</v>
      </c>
      <c r="C167" s="25" t="s">
        <v>536</v>
      </c>
      <c r="D167" s="25" t="s">
        <v>537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100</v>
      </c>
      <c r="K167" s="31">
        <f>203</f>
        <v>203</v>
      </c>
      <c r="L167" s="32" t="s">
        <v>904</v>
      </c>
      <c r="M167" s="31">
        <f>226</f>
        <v>226</v>
      </c>
      <c r="N167" s="32" t="s">
        <v>816</v>
      </c>
      <c r="O167" s="31">
        <f>197.9</f>
        <v>197.9</v>
      </c>
      <c r="P167" s="32" t="s">
        <v>70</v>
      </c>
      <c r="Q167" s="31">
        <f>203.1</f>
        <v>203.1</v>
      </c>
      <c r="R167" s="32" t="s">
        <v>94</v>
      </c>
      <c r="S167" s="33">
        <f>207.83</f>
        <v>207.83</v>
      </c>
      <c r="T167" s="30">
        <f>435600</f>
        <v>435600</v>
      </c>
      <c r="U167" s="30" t="str">
        <f t="shared" si="3"/>
        <v>－</v>
      </c>
      <c r="V167" s="30">
        <f>91711670</f>
        <v>91711670</v>
      </c>
      <c r="W167" s="30" t="str">
        <f t="shared" si="4"/>
        <v>－</v>
      </c>
      <c r="X167" s="34">
        <f>20</f>
        <v>20</v>
      </c>
    </row>
    <row r="168" spans="1:24" x14ac:dyDescent="0.15">
      <c r="A168" s="25" t="s">
        <v>966</v>
      </c>
      <c r="B168" s="25" t="s">
        <v>538</v>
      </c>
      <c r="C168" s="25" t="s">
        <v>539</v>
      </c>
      <c r="D168" s="25" t="s">
        <v>540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1551</f>
        <v>1551</v>
      </c>
      <c r="L168" s="32" t="s">
        <v>904</v>
      </c>
      <c r="M168" s="31">
        <f>1944</f>
        <v>1944</v>
      </c>
      <c r="N168" s="32" t="s">
        <v>87</v>
      </c>
      <c r="O168" s="31">
        <f>1509.5</f>
        <v>1509.5</v>
      </c>
      <c r="P168" s="32" t="s">
        <v>811</v>
      </c>
      <c r="Q168" s="31">
        <f>1767</f>
        <v>1767</v>
      </c>
      <c r="R168" s="32" t="s">
        <v>94</v>
      </c>
      <c r="S168" s="33">
        <f>1707.28</f>
        <v>1707.28</v>
      </c>
      <c r="T168" s="30">
        <f>35110</f>
        <v>35110</v>
      </c>
      <c r="U168" s="30" t="str">
        <f t="shared" si="3"/>
        <v>－</v>
      </c>
      <c r="V168" s="30">
        <f>61805100</f>
        <v>61805100</v>
      </c>
      <c r="W168" s="30" t="str">
        <f t="shared" si="4"/>
        <v>－</v>
      </c>
      <c r="X168" s="34">
        <f>20</f>
        <v>20</v>
      </c>
    </row>
    <row r="169" spans="1:24" x14ac:dyDescent="0.15">
      <c r="A169" s="25" t="s">
        <v>966</v>
      </c>
      <c r="B169" s="25" t="s">
        <v>541</v>
      </c>
      <c r="C169" s="25" t="s">
        <v>542</v>
      </c>
      <c r="D169" s="25" t="s">
        <v>543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584.5</f>
        <v>584.5</v>
      </c>
      <c r="L169" s="32" t="s">
        <v>904</v>
      </c>
      <c r="M169" s="31">
        <f>769.9</f>
        <v>769.9</v>
      </c>
      <c r="N169" s="32" t="s">
        <v>814</v>
      </c>
      <c r="O169" s="31">
        <f>582.5</f>
        <v>582.5</v>
      </c>
      <c r="P169" s="32" t="s">
        <v>904</v>
      </c>
      <c r="Q169" s="31">
        <f>700</f>
        <v>700</v>
      </c>
      <c r="R169" s="32" t="s">
        <v>94</v>
      </c>
      <c r="S169" s="33">
        <f>659.85</f>
        <v>659.85</v>
      </c>
      <c r="T169" s="30">
        <f>244830</f>
        <v>244830</v>
      </c>
      <c r="U169" s="30" t="str">
        <f t="shared" si="3"/>
        <v>－</v>
      </c>
      <c r="V169" s="30">
        <f>169403896</f>
        <v>169403896</v>
      </c>
      <c r="W169" s="30" t="str">
        <f t="shared" si="4"/>
        <v>－</v>
      </c>
      <c r="X169" s="34">
        <f>20</f>
        <v>20</v>
      </c>
    </row>
    <row r="170" spans="1:24" x14ac:dyDescent="0.15">
      <c r="A170" s="25" t="s">
        <v>966</v>
      </c>
      <c r="B170" s="25" t="s">
        <v>544</v>
      </c>
      <c r="C170" s="25" t="s">
        <v>545</v>
      </c>
      <c r="D170" s="25" t="s">
        <v>546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2551.5</f>
        <v>2551.5</v>
      </c>
      <c r="L170" s="32" t="s">
        <v>904</v>
      </c>
      <c r="M170" s="31">
        <f>2749.5</f>
        <v>2749.5</v>
      </c>
      <c r="N170" s="32" t="s">
        <v>87</v>
      </c>
      <c r="O170" s="31">
        <f>2488.5</f>
        <v>2488.5</v>
      </c>
      <c r="P170" s="32" t="s">
        <v>904</v>
      </c>
      <c r="Q170" s="31">
        <f>2565</f>
        <v>2565</v>
      </c>
      <c r="R170" s="32" t="s">
        <v>94</v>
      </c>
      <c r="S170" s="33">
        <f>2589.03</f>
        <v>2589.0300000000002</v>
      </c>
      <c r="T170" s="30">
        <f>20880</f>
        <v>20880</v>
      </c>
      <c r="U170" s="30" t="str">
        <f t="shared" si="3"/>
        <v>－</v>
      </c>
      <c r="V170" s="30">
        <f>54561655</f>
        <v>54561655</v>
      </c>
      <c r="W170" s="30" t="str">
        <f t="shared" si="4"/>
        <v>－</v>
      </c>
      <c r="X170" s="34">
        <f>20</f>
        <v>20</v>
      </c>
    </row>
    <row r="171" spans="1:24" x14ac:dyDescent="0.15">
      <c r="A171" s="25" t="s">
        <v>966</v>
      </c>
      <c r="B171" s="25" t="s">
        <v>547</v>
      </c>
      <c r="C171" s="25" t="s">
        <v>548</v>
      </c>
      <c r="D171" s="25" t="s">
        <v>549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862</f>
        <v>862</v>
      </c>
      <c r="L171" s="32" t="s">
        <v>904</v>
      </c>
      <c r="M171" s="31">
        <f>1209.5</f>
        <v>1209.5</v>
      </c>
      <c r="N171" s="32" t="s">
        <v>87</v>
      </c>
      <c r="O171" s="31">
        <f>839.3</f>
        <v>839.3</v>
      </c>
      <c r="P171" s="32" t="s">
        <v>904</v>
      </c>
      <c r="Q171" s="31">
        <f>976.1</f>
        <v>976.1</v>
      </c>
      <c r="R171" s="32" t="s">
        <v>94</v>
      </c>
      <c r="S171" s="33">
        <f>947.38</f>
        <v>947.38</v>
      </c>
      <c r="T171" s="30">
        <f>600750</f>
        <v>600750</v>
      </c>
      <c r="U171" s="30" t="str">
        <f t="shared" si="3"/>
        <v>－</v>
      </c>
      <c r="V171" s="30">
        <f>593832665</f>
        <v>593832665</v>
      </c>
      <c r="W171" s="30" t="str">
        <f t="shared" si="4"/>
        <v>－</v>
      </c>
      <c r="X171" s="34">
        <f>20</f>
        <v>20</v>
      </c>
    </row>
    <row r="172" spans="1:24" x14ac:dyDescent="0.15">
      <c r="A172" s="25" t="s">
        <v>966</v>
      </c>
      <c r="B172" s="25" t="s">
        <v>550</v>
      </c>
      <c r="C172" s="25" t="s">
        <v>551</v>
      </c>
      <c r="D172" s="25" t="s">
        <v>552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636.8</f>
        <v>636.79999999999995</v>
      </c>
      <c r="L172" s="32" t="s">
        <v>904</v>
      </c>
      <c r="M172" s="31">
        <f>747.9</f>
        <v>747.9</v>
      </c>
      <c r="N172" s="32" t="s">
        <v>816</v>
      </c>
      <c r="O172" s="31">
        <f>628.3</f>
        <v>628.29999999999995</v>
      </c>
      <c r="P172" s="32" t="s">
        <v>811</v>
      </c>
      <c r="Q172" s="31">
        <f>739.9</f>
        <v>739.9</v>
      </c>
      <c r="R172" s="32" t="s">
        <v>94</v>
      </c>
      <c r="S172" s="33">
        <f>696.08</f>
        <v>696.08</v>
      </c>
      <c r="T172" s="30">
        <f>1351880</f>
        <v>1351880</v>
      </c>
      <c r="U172" s="30" t="str">
        <f t="shared" si="3"/>
        <v>－</v>
      </c>
      <c r="V172" s="30">
        <f>959922427</f>
        <v>959922427</v>
      </c>
      <c r="W172" s="30" t="str">
        <f t="shared" si="4"/>
        <v>－</v>
      </c>
      <c r="X172" s="34">
        <f>20</f>
        <v>20</v>
      </c>
    </row>
    <row r="173" spans="1:24" x14ac:dyDescent="0.15">
      <c r="A173" s="25" t="s">
        <v>966</v>
      </c>
      <c r="B173" s="25" t="s">
        <v>553</v>
      </c>
      <c r="C173" s="25" t="s">
        <v>554</v>
      </c>
      <c r="D173" s="25" t="s">
        <v>555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2.9</f>
        <v>2.9</v>
      </c>
      <c r="L173" s="32" t="s">
        <v>904</v>
      </c>
      <c r="M173" s="31">
        <f>7.4</f>
        <v>7.4</v>
      </c>
      <c r="N173" s="32" t="s">
        <v>816</v>
      </c>
      <c r="O173" s="31">
        <f>2.9</f>
        <v>2.9</v>
      </c>
      <c r="P173" s="32" t="s">
        <v>904</v>
      </c>
      <c r="Q173" s="31">
        <f>4</f>
        <v>4</v>
      </c>
      <c r="R173" s="32" t="s">
        <v>94</v>
      </c>
      <c r="S173" s="33">
        <f>3.71</f>
        <v>3.71</v>
      </c>
      <c r="T173" s="30">
        <f>2012824200</f>
        <v>2012824200</v>
      </c>
      <c r="U173" s="30">
        <f>3208600</f>
        <v>3208600</v>
      </c>
      <c r="V173" s="30">
        <f>8879458890</f>
        <v>8879458890</v>
      </c>
      <c r="W173" s="30">
        <f>11727520</f>
        <v>11727520</v>
      </c>
      <c r="X173" s="34">
        <f>20</f>
        <v>20</v>
      </c>
    </row>
    <row r="174" spans="1:24" x14ac:dyDescent="0.15">
      <c r="A174" s="25" t="s">
        <v>966</v>
      </c>
      <c r="B174" s="25" t="s">
        <v>556</v>
      </c>
      <c r="C174" s="25" t="s">
        <v>557</v>
      </c>
      <c r="D174" s="25" t="s">
        <v>558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1204</f>
        <v>1204</v>
      </c>
      <c r="L174" s="32" t="s">
        <v>904</v>
      </c>
      <c r="M174" s="31">
        <f>1375.5</f>
        <v>1375.5</v>
      </c>
      <c r="N174" s="32" t="s">
        <v>816</v>
      </c>
      <c r="O174" s="31">
        <f>1185.5</f>
        <v>1185.5</v>
      </c>
      <c r="P174" s="32" t="s">
        <v>904</v>
      </c>
      <c r="Q174" s="31">
        <f>1294.5</f>
        <v>1294.5</v>
      </c>
      <c r="R174" s="32" t="s">
        <v>94</v>
      </c>
      <c r="S174" s="33">
        <f>1271.9</f>
        <v>1271.9000000000001</v>
      </c>
      <c r="T174" s="30">
        <f>473450</f>
        <v>473450</v>
      </c>
      <c r="U174" s="30" t="str">
        <f t="shared" ref="U174:U182" si="5">"－"</f>
        <v>－</v>
      </c>
      <c r="V174" s="30">
        <f>603295105</f>
        <v>603295105</v>
      </c>
      <c r="W174" s="30" t="str">
        <f t="shared" ref="W174:W182" si="6">"－"</f>
        <v>－</v>
      </c>
      <c r="X174" s="34">
        <f>20</f>
        <v>20</v>
      </c>
    </row>
    <row r="175" spans="1:24" x14ac:dyDescent="0.15">
      <c r="A175" s="25" t="s">
        <v>966</v>
      </c>
      <c r="B175" s="25" t="s">
        <v>559</v>
      </c>
      <c r="C175" s="25" t="s">
        <v>560</v>
      </c>
      <c r="D175" s="25" t="s">
        <v>561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</v>
      </c>
      <c r="K175" s="31">
        <f>5240</f>
        <v>5240</v>
      </c>
      <c r="L175" s="32" t="s">
        <v>904</v>
      </c>
      <c r="M175" s="31">
        <f>6090</f>
        <v>6090</v>
      </c>
      <c r="N175" s="32" t="s">
        <v>814</v>
      </c>
      <c r="O175" s="31">
        <f>5160</f>
        <v>5160</v>
      </c>
      <c r="P175" s="32" t="s">
        <v>912</v>
      </c>
      <c r="Q175" s="31">
        <f>5960</f>
        <v>5960</v>
      </c>
      <c r="R175" s="32" t="s">
        <v>94</v>
      </c>
      <c r="S175" s="33">
        <f>5616</f>
        <v>5616</v>
      </c>
      <c r="T175" s="30">
        <f>5944</f>
        <v>5944</v>
      </c>
      <c r="U175" s="30" t="str">
        <f t="shared" si="5"/>
        <v>－</v>
      </c>
      <c r="V175" s="30">
        <f>33680390</f>
        <v>33680390</v>
      </c>
      <c r="W175" s="30" t="str">
        <f t="shared" si="6"/>
        <v>－</v>
      </c>
      <c r="X175" s="34">
        <f>20</f>
        <v>20</v>
      </c>
    </row>
    <row r="176" spans="1:24" x14ac:dyDescent="0.15">
      <c r="A176" s="25" t="s">
        <v>966</v>
      </c>
      <c r="B176" s="25" t="s">
        <v>562</v>
      </c>
      <c r="C176" s="25" t="s">
        <v>563</v>
      </c>
      <c r="D176" s="25" t="s">
        <v>564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592</f>
        <v>592</v>
      </c>
      <c r="L176" s="32" t="s">
        <v>904</v>
      </c>
      <c r="M176" s="31">
        <f>603.4</f>
        <v>603.4</v>
      </c>
      <c r="N176" s="32" t="s">
        <v>904</v>
      </c>
      <c r="O176" s="31">
        <f>537.1</f>
        <v>537.1</v>
      </c>
      <c r="P176" s="32" t="s">
        <v>266</v>
      </c>
      <c r="Q176" s="31">
        <f>550.2</f>
        <v>550.20000000000005</v>
      </c>
      <c r="R176" s="32" t="s">
        <v>94</v>
      </c>
      <c r="S176" s="33">
        <f>578.39</f>
        <v>578.39</v>
      </c>
      <c r="T176" s="30">
        <f>284500</f>
        <v>284500</v>
      </c>
      <c r="U176" s="30" t="str">
        <f t="shared" si="5"/>
        <v>－</v>
      </c>
      <c r="V176" s="30">
        <f>165167410</f>
        <v>165167410</v>
      </c>
      <c r="W176" s="30" t="str">
        <f t="shared" si="6"/>
        <v>－</v>
      </c>
      <c r="X176" s="34">
        <f>20</f>
        <v>20</v>
      </c>
    </row>
    <row r="177" spans="1:24" x14ac:dyDescent="0.15">
      <c r="A177" s="25" t="s">
        <v>966</v>
      </c>
      <c r="B177" s="25" t="s">
        <v>565</v>
      </c>
      <c r="C177" s="25" t="s">
        <v>566</v>
      </c>
      <c r="D177" s="25" t="s">
        <v>567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5114</f>
        <v>5114</v>
      </c>
      <c r="L177" s="32" t="s">
        <v>904</v>
      </c>
      <c r="M177" s="31">
        <f>5479</f>
        <v>5479</v>
      </c>
      <c r="N177" s="32" t="s">
        <v>915</v>
      </c>
      <c r="O177" s="31">
        <f>4981</f>
        <v>4981</v>
      </c>
      <c r="P177" s="32" t="s">
        <v>266</v>
      </c>
      <c r="Q177" s="31">
        <f>5036</f>
        <v>5036</v>
      </c>
      <c r="R177" s="32" t="s">
        <v>94</v>
      </c>
      <c r="S177" s="33">
        <f>5210.8</f>
        <v>5210.8</v>
      </c>
      <c r="T177" s="30">
        <f>44220</f>
        <v>44220</v>
      </c>
      <c r="U177" s="30" t="str">
        <f t="shared" si="5"/>
        <v>－</v>
      </c>
      <c r="V177" s="30">
        <f>230971980</f>
        <v>230971980</v>
      </c>
      <c r="W177" s="30" t="str">
        <f t="shared" si="6"/>
        <v>－</v>
      </c>
      <c r="X177" s="34">
        <f>20</f>
        <v>20</v>
      </c>
    </row>
    <row r="178" spans="1:24" x14ac:dyDescent="0.15">
      <c r="A178" s="25" t="s">
        <v>966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3685</f>
        <v>3685</v>
      </c>
      <c r="L178" s="32" t="s">
        <v>904</v>
      </c>
      <c r="M178" s="31">
        <f>4080</f>
        <v>4080</v>
      </c>
      <c r="N178" s="32" t="s">
        <v>87</v>
      </c>
      <c r="O178" s="31">
        <f>3611</f>
        <v>3611</v>
      </c>
      <c r="P178" s="32" t="s">
        <v>904</v>
      </c>
      <c r="Q178" s="31">
        <f>3964</f>
        <v>3964</v>
      </c>
      <c r="R178" s="32" t="s">
        <v>94</v>
      </c>
      <c r="S178" s="33">
        <f>3927.1</f>
        <v>3927.1</v>
      </c>
      <c r="T178" s="30">
        <f>84770</f>
        <v>84770</v>
      </c>
      <c r="U178" s="30" t="str">
        <f t="shared" si="5"/>
        <v>－</v>
      </c>
      <c r="V178" s="30">
        <f>333622620</f>
        <v>333622620</v>
      </c>
      <c r="W178" s="30" t="str">
        <f t="shared" si="6"/>
        <v>－</v>
      </c>
      <c r="X178" s="34">
        <f>20</f>
        <v>20</v>
      </c>
    </row>
    <row r="179" spans="1:24" x14ac:dyDescent="0.15">
      <c r="A179" s="25" t="s">
        <v>966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100</v>
      </c>
      <c r="K179" s="31">
        <f>129.8</f>
        <v>129.80000000000001</v>
      </c>
      <c r="L179" s="32" t="s">
        <v>904</v>
      </c>
      <c r="M179" s="31">
        <f>153.5</f>
        <v>153.5</v>
      </c>
      <c r="N179" s="32" t="s">
        <v>816</v>
      </c>
      <c r="O179" s="31">
        <f>126.2</f>
        <v>126.2</v>
      </c>
      <c r="P179" s="32" t="s">
        <v>811</v>
      </c>
      <c r="Q179" s="31">
        <f>147.5</f>
        <v>147.5</v>
      </c>
      <c r="R179" s="32" t="s">
        <v>94</v>
      </c>
      <c r="S179" s="33">
        <f>141.96</f>
        <v>141.96</v>
      </c>
      <c r="T179" s="30">
        <f>26104500</f>
        <v>26104500</v>
      </c>
      <c r="U179" s="30" t="str">
        <f t="shared" si="5"/>
        <v>－</v>
      </c>
      <c r="V179" s="30">
        <f>3747496330</f>
        <v>3747496330</v>
      </c>
      <c r="W179" s="30" t="str">
        <f t="shared" si="6"/>
        <v>－</v>
      </c>
      <c r="X179" s="34">
        <f>20</f>
        <v>20</v>
      </c>
    </row>
    <row r="180" spans="1:24" x14ac:dyDescent="0.15">
      <c r="A180" s="25" t="s">
        <v>966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100</v>
      </c>
      <c r="K180" s="31">
        <f>170</f>
        <v>170</v>
      </c>
      <c r="L180" s="32" t="s">
        <v>904</v>
      </c>
      <c r="M180" s="31">
        <f>200</f>
        <v>200</v>
      </c>
      <c r="N180" s="32" t="s">
        <v>94</v>
      </c>
      <c r="O180" s="31">
        <f>168.5</f>
        <v>168.5</v>
      </c>
      <c r="P180" s="32" t="s">
        <v>811</v>
      </c>
      <c r="Q180" s="31">
        <f>199.7</f>
        <v>199.7</v>
      </c>
      <c r="R180" s="32" t="s">
        <v>94</v>
      </c>
      <c r="S180" s="33">
        <f>185.28</f>
        <v>185.28</v>
      </c>
      <c r="T180" s="30">
        <f>5001000</f>
        <v>5001000</v>
      </c>
      <c r="U180" s="30" t="str">
        <f t="shared" si="5"/>
        <v>－</v>
      </c>
      <c r="V180" s="30">
        <f>944104170</f>
        <v>944104170</v>
      </c>
      <c r="W180" s="30" t="str">
        <f t="shared" si="6"/>
        <v>－</v>
      </c>
      <c r="X180" s="34">
        <f>20</f>
        <v>20</v>
      </c>
    </row>
    <row r="181" spans="1:24" x14ac:dyDescent="0.15">
      <c r="A181" s="25" t="s">
        <v>966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3589</f>
        <v>3589</v>
      </c>
      <c r="L181" s="32" t="s">
        <v>904</v>
      </c>
      <c r="M181" s="31">
        <f>4058</f>
        <v>4058</v>
      </c>
      <c r="N181" s="32" t="s">
        <v>908</v>
      </c>
      <c r="O181" s="31">
        <f>3484</f>
        <v>3484</v>
      </c>
      <c r="P181" s="32" t="s">
        <v>811</v>
      </c>
      <c r="Q181" s="31">
        <f>4006</f>
        <v>4006</v>
      </c>
      <c r="R181" s="32" t="s">
        <v>94</v>
      </c>
      <c r="S181" s="33">
        <f>3825.75</f>
        <v>3825.75</v>
      </c>
      <c r="T181" s="30">
        <f>71720</f>
        <v>71720</v>
      </c>
      <c r="U181" s="30" t="str">
        <f t="shared" si="5"/>
        <v>－</v>
      </c>
      <c r="V181" s="30">
        <f>275764160</f>
        <v>275764160</v>
      </c>
      <c r="W181" s="30" t="str">
        <f t="shared" si="6"/>
        <v>－</v>
      </c>
      <c r="X181" s="34">
        <f>20</f>
        <v>20</v>
      </c>
    </row>
    <row r="182" spans="1:24" x14ac:dyDescent="0.15">
      <c r="A182" s="25" t="s">
        <v>966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46</v>
      </c>
      <c r="J182" s="30">
        <v>10</v>
      </c>
      <c r="K182" s="31">
        <f>1945.5</f>
        <v>1945.5</v>
      </c>
      <c r="L182" s="32" t="s">
        <v>904</v>
      </c>
      <c r="M182" s="31">
        <f>1981.5</f>
        <v>1981.5</v>
      </c>
      <c r="N182" s="32" t="s">
        <v>811</v>
      </c>
      <c r="O182" s="31">
        <f>1874</f>
        <v>1874</v>
      </c>
      <c r="P182" s="32" t="s">
        <v>70</v>
      </c>
      <c r="Q182" s="31">
        <f>1944</f>
        <v>1944</v>
      </c>
      <c r="R182" s="32" t="s">
        <v>94</v>
      </c>
      <c r="S182" s="33">
        <f>1927.05</f>
        <v>1927.05</v>
      </c>
      <c r="T182" s="30">
        <f>98560</f>
        <v>98560</v>
      </c>
      <c r="U182" s="30" t="str">
        <f t="shared" si="5"/>
        <v>－</v>
      </c>
      <c r="V182" s="30">
        <f>192002000</f>
        <v>192002000</v>
      </c>
      <c r="W182" s="30" t="str">
        <f t="shared" si="6"/>
        <v>－</v>
      </c>
      <c r="X182" s="34">
        <f>20</f>
        <v>20</v>
      </c>
    </row>
    <row r="183" spans="1:24" x14ac:dyDescent="0.15">
      <c r="A183" s="25" t="s">
        <v>966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46</v>
      </c>
      <c r="J183" s="30">
        <v>10</v>
      </c>
      <c r="K183" s="31">
        <f>321.1</f>
        <v>321.10000000000002</v>
      </c>
      <c r="L183" s="32" t="s">
        <v>904</v>
      </c>
      <c r="M183" s="31">
        <f>369.5</f>
        <v>369.5</v>
      </c>
      <c r="N183" s="32" t="s">
        <v>816</v>
      </c>
      <c r="O183" s="31">
        <f>316.5</f>
        <v>316.5</v>
      </c>
      <c r="P183" s="32" t="s">
        <v>904</v>
      </c>
      <c r="Q183" s="31">
        <f>349.6</f>
        <v>349.6</v>
      </c>
      <c r="R183" s="32" t="s">
        <v>94</v>
      </c>
      <c r="S183" s="33">
        <f>342.34</f>
        <v>342.34</v>
      </c>
      <c r="T183" s="30">
        <f>47083920</f>
        <v>47083920</v>
      </c>
      <c r="U183" s="30">
        <f>67770</f>
        <v>67770</v>
      </c>
      <c r="V183" s="30">
        <f>16091832825</f>
        <v>16091832825</v>
      </c>
      <c r="W183" s="30">
        <f>24748711</f>
        <v>24748711</v>
      </c>
      <c r="X183" s="34">
        <f>20</f>
        <v>20</v>
      </c>
    </row>
    <row r="184" spans="1:24" x14ac:dyDescent="0.15">
      <c r="A184" s="25" t="s">
        <v>966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589</v>
      </c>
      <c r="J184" s="30">
        <v>1</v>
      </c>
      <c r="K184" s="31">
        <f>6882</f>
        <v>6882</v>
      </c>
      <c r="L184" s="32" t="s">
        <v>904</v>
      </c>
      <c r="M184" s="31">
        <f>7799</f>
        <v>7799</v>
      </c>
      <c r="N184" s="32" t="s">
        <v>810</v>
      </c>
      <c r="O184" s="31">
        <f>6015</f>
        <v>6015</v>
      </c>
      <c r="P184" s="32" t="s">
        <v>266</v>
      </c>
      <c r="Q184" s="31">
        <f>6311</f>
        <v>6311</v>
      </c>
      <c r="R184" s="32" t="s">
        <v>94</v>
      </c>
      <c r="S184" s="33">
        <f>6895.4</f>
        <v>6895.4</v>
      </c>
      <c r="T184" s="30">
        <f>28884</f>
        <v>28884</v>
      </c>
      <c r="U184" s="30">
        <f>1</f>
        <v>1</v>
      </c>
      <c r="V184" s="30">
        <f>205692508</f>
        <v>205692508</v>
      </c>
      <c r="W184" s="30">
        <f>7017</f>
        <v>7017</v>
      </c>
      <c r="X184" s="34">
        <f>20</f>
        <v>20</v>
      </c>
    </row>
    <row r="185" spans="1:24" x14ac:dyDescent="0.15">
      <c r="A185" s="25" t="s">
        <v>966</v>
      </c>
      <c r="B185" s="25" t="s">
        <v>590</v>
      </c>
      <c r="C185" s="25" t="s">
        <v>591</v>
      </c>
      <c r="D185" s="25" t="s">
        <v>592</v>
      </c>
      <c r="E185" s="26" t="s">
        <v>45</v>
      </c>
      <c r="F185" s="27" t="s">
        <v>45</v>
      </c>
      <c r="G185" s="28" t="s">
        <v>45</v>
      </c>
      <c r="H185" s="29"/>
      <c r="I185" s="29" t="s">
        <v>589</v>
      </c>
      <c r="J185" s="30">
        <v>1</v>
      </c>
      <c r="K185" s="31">
        <f>7081</f>
        <v>7081</v>
      </c>
      <c r="L185" s="32" t="s">
        <v>904</v>
      </c>
      <c r="M185" s="31">
        <f>8100</f>
        <v>8100</v>
      </c>
      <c r="N185" s="32" t="s">
        <v>266</v>
      </c>
      <c r="O185" s="31">
        <f>6654</f>
        <v>6654</v>
      </c>
      <c r="P185" s="32" t="s">
        <v>810</v>
      </c>
      <c r="Q185" s="31">
        <f>8100</f>
        <v>8100</v>
      </c>
      <c r="R185" s="32" t="s">
        <v>94</v>
      </c>
      <c r="S185" s="33">
        <f>7406.25</f>
        <v>7406.25</v>
      </c>
      <c r="T185" s="30">
        <f>6512</f>
        <v>6512</v>
      </c>
      <c r="U185" s="30" t="str">
        <f>"－"</f>
        <v>－</v>
      </c>
      <c r="V185" s="30">
        <f>49086157</f>
        <v>49086157</v>
      </c>
      <c r="W185" s="30" t="str">
        <f>"－"</f>
        <v>－</v>
      </c>
      <c r="X185" s="34">
        <f>20</f>
        <v>20</v>
      </c>
    </row>
    <row r="186" spans="1:24" x14ac:dyDescent="0.15">
      <c r="A186" s="25" t="s">
        <v>966</v>
      </c>
      <c r="B186" s="25" t="s">
        <v>593</v>
      </c>
      <c r="C186" s="25" t="s">
        <v>594</v>
      </c>
      <c r="D186" s="25" t="s">
        <v>595</v>
      </c>
      <c r="E186" s="26" t="s">
        <v>45</v>
      </c>
      <c r="F186" s="27" t="s">
        <v>45</v>
      </c>
      <c r="G186" s="28" t="s">
        <v>45</v>
      </c>
      <c r="H186" s="29"/>
      <c r="I186" s="29" t="s">
        <v>589</v>
      </c>
      <c r="J186" s="30">
        <v>1</v>
      </c>
      <c r="K186" s="31">
        <f>14410</f>
        <v>14410</v>
      </c>
      <c r="L186" s="32" t="s">
        <v>904</v>
      </c>
      <c r="M186" s="31">
        <f>14655</f>
        <v>14655</v>
      </c>
      <c r="N186" s="32" t="s">
        <v>66</v>
      </c>
      <c r="O186" s="31">
        <f>12800</f>
        <v>12800</v>
      </c>
      <c r="P186" s="32" t="s">
        <v>266</v>
      </c>
      <c r="Q186" s="31">
        <f>13200</f>
        <v>13200</v>
      </c>
      <c r="R186" s="32" t="s">
        <v>94</v>
      </c>
      <c r="S186" s="33">
        <f>13850.29</f>
        <v>13850.29</v>
      </c>
      <c r="T186" s="30">
        <f>3281</f>
        <v>3281</v>
      </c>
      <c r="U186" s="30" t="str">
        <f>"－"</f>
        <v>－</v>
      </c>
      <c r="V186" s="30">
        <f>44096255</f>
        <v>44096255</v>
      </c>
      <c r="W186" s="30" t="str">
        <f>"－"</f>
        <v>－</v>
      </c>
      <c r="X186" s="34">
        <f>17</f>
        <v>17</v>
      </c>
    </row>
    <row r="187" spans="1:24" x14ac:dyDescent="0.15">
      <c r="A187" s="25" t="s">
        <v>966</v>
      </c>
      <c r="B187" s="25" t="s">
        <v>596</v>
      </c>
      <c r="C187" s="25" t="s">
        <v>597</v>
      </c>
      <c r="D187" s="25" t="s">
        <v>598</v>
      </c>
      <c r="E187" s="26" t="s">
        <v>45</v>
      </c>
      <c r="F187" s="27" t="s">
        <v>45</v>
      </c>
      <c r="G187" s="28" t="s">
        <v>45</v>
      </c>
      <c r="H187" s="29"/>
      <c r="I187" s="29" t="s">
        <v>589</v>
      </c>
      <c r="J187" s="30">
        <v>1</v>
      </c>
      <c r="K187" s="31">
        <f>6845</f>
        <v>6845</v>
      </c>
      <c r="L187" s="32" t="s">
        <v>904</v>
      </c>
      <c r="M187" s="31">
        <f>7448</f>
        <v>7448</v>
      </c>
      <c r="N187" s="32" t="s">
        <v>815</v>
      </c>
      <c r="O187" s="31">
        <f>6828</f>
        <v>6828</v>
      </c>
      <c r="P187" s="32" t="s">
        <v>811</v>
      </c>
      <c r="Q187" s="31">
        <f>7361</f>
        <v>7361</v>
      </c>
      <c r="R187" s="32" t="s">
        <v>94</v>
      </c>
      <c r="S187" s="33">
        <f>7137.7</f>
        <v>7137.7</v>
      </c>
      <c r="T187" s="30">
        <f>13461</f>
        <v>13461</v>
      </c>
      <c r="U187" s="30" t="str">
        <f>"－"</f>
        <v>－</v>
      </c>
      <c r="V187" s="30">
        <f>96742290</f>
        <v>96742290</v>
      </c>
      <c r="W187" s="30" t="str">
        <f>"－"</f>
        <v>－</v>
      </c>
      <c r="X187" s="34">
        <f>20</f>
        <v>20</v>
      </c>
    </row>
    <row r="188" spans="1:24" x14ac:dyDescent="0.15">
      <c r="A188" s="25" t="s">
        <v>966</v>
      </c>
      <c r="B188" s="25" t="s">
        <v>602</v>
      </c>
      <c r="C188" s="25" t="s">
        <v>603</v>
      </c>
      <c r="D188" s="25" t="s">
        <v>604</v>
      </c>
      <c r="E188" s="26" t="s">
        <v>45</v>
      </c>
      <c r="F188" s="27" t="s">
        <v>45</v>
      </c>
      <c r="G188" s="28" t="s">
        <v>45</v>
      </c>
      <c r="H188" s="29"/>
      <c r="I188" s="29" t="s">
        <v>589</v>
      </c>
      <c r="J188" s="30">
        <v>1</v>
      </c>
      <c r="K188" s="31">
        <f>24415</f>
        <v>24415</v>
      </c>
      <c r="L188" s="32" t="s">
        <v>904</v>
      </c>
      <c r="M188" s="31">
        <f>28715</f>
        <v>28715</v>
      </c>
      <c r="N188" s="32" t="s">
        <v>816</v>
      </c>
      <c r="O188" s="31">
        <f>24310</f>
        <v>24310</v>
      </c>
      <c r="P188" s="32" t="s">
        <v>811</v>
      </c>
      <c r="Q188" s="31">
        <f>26010</f>
        <v>26010</v>
      </c>
      <c r="R188" s="32" t="s">
        <v>94</v>
      </c>
      <c r="S188" s="33">
        <f>26524.5</f>
        <v>26524.5</v>
      </c>
      <c r="T188" s="30">
        <f>85311</f>
        <v>85311</v>
      </c>
      <c r="U188" s="30">
        <f>8</f>
        <v>8</v>
      </c>
      <c r="V188" s="30">
        <f>2309576215</f>
        <v>2309576215</v>
      </c>
      <c r="W188" s="30">
        <f>200225</f>
        <v>200225</v>
      </c>
      <c r="X188" s="34">
        <f>20</f>
        <v>20</v>
      </c>
    </row>
    <row r="189" spans="1:24" x14ac:dyDescent="0.15">
      <c r="A189" s="25" t="s">
        <v>966</v>
      </c>
      <c r="B189" s="25" t="s">
        <v>605</v>
      </c>
      <c r="C189" s="25" t="s">
        <v>606</v>
      </c>
      <c r="D189" s="25" t="s">
        <v>607</v>
      </c>
      <c r="E189" s="26" t="s">
        <v>45</v>
      </c>
      <c r="F189" s="27" t="s">
        <v>45</v>
      </c>
      <c r="G189" s="28" t="s">
        <v>45</v>
      </c>
      <c r="H189" s="29"/>
      <c r="I189" s="29" t="s">
        <v>589</v>
      </c>
      <c r="J189" s="30">
        <v>1</v>
      </c>
      <c r="K189" s="31">
        <f>4635</f>
        <v>4635</v>
      </c>
      <c r="L189" s="32" t="s">
        <v>904</v>
      </c>
      <c r="M189" s="31">
        <f>4645</f>
        <v>4645</v>
      </c>
      <c r="N189" s="32" t="s">
        <v>811</v>
      </c>
      <c r="O189" s="31">
        <f>4275</f>
        <v>4275</v>
      </c>
      <c r="P189" s="32" t="s">
        <v>814</v>
      </c>
      <c r="Q189" s="31">
        <f>4405</f>
        <v>4405</v>
      </c>
      <c r="R189" s="32" t="s">
        <v>94</v>
      </c>
      <c r="S189" s="33">
        <f>4447.5</f>
        <v>4447.5</v>
      </c>
      <c r="T189" s="30">
        <f>23906</f>
        <v>23906</v>
      </c>
      <c r="U189" s="30" t="str">
        <f>"－"</f>
        <v>－</v>
      </c>
      <c r="V189" s="30">
        <f>105655770</f>
        <v>105655770</v>
      </c>
      <c r="W189" s="30" t="str">
        <f>"－"</f>
        <v>－</v>
      </c>
      <c r="X189" s="34">
        <f>20</f>
        <v>20</v>
      </c>
    </row>
    <row r="190" spans="1:24" x14ac:dyDescent="0.15">
      <c r="A190" s="25" t="s">
        <v>966</v>
      </c>
      <c r="B190" s="25" t="s">
        <v>608</v>
      </c>
      <c r="C190" s="25" t="s">
        <v>609</v>
      </c>
      <c r="D190" s="25" t="s">
        <v>610</v>
      </c>
      <c r="E190" s="26" t="s">
        <v>45</v>
      </c>
      <c r="F190" s="27" t="s">
        <v>45</v>
      </c>
      <c r="G190" s="28" t="s">
        <v>45</v>
      </c>
      <c r="H190" s="29"/>
      <c r="I190" s="29" t="s">
        <v>589</v>
      </c>
      <c r="J190" s="30">
        <v>1</v>
      </c>
      <c r="K190" s="31">
        <f>1391</f>
        <v>1391</v>
      </c>
      <c r="L190" s="32" t="s">
        <v>904</v>
      </c>
      <c r="M190" s="31">
        <f>1759</f>
        <v>1759</v>
      </c>
      <c r="N190" s="32" t="s">
        <v>814</v>
      </c>
      <c r="O190" s="31">
        <f>1365</f>
        <v>1365</v>
      </c>
      <c r="P190" s="32" t="s">
        <v>904</v>
      </c>
      <c r="Q190" s="31">
        <f>1543</f>
        <v>1543</v>
      </c>
      <c r="R190" s="32" t="s">
        <v>94</v>
      </c>
      <c r="S190" s="33">
        <f>1548.7</f>
        <v>1548.7</v>
      </c>
      <c r="T190" s="30">
        <f>80584670</f>
        <v>80584670</v>
      </c>
      <c r="U190" s="30">
        <f>109062</f>
        <v>109062</v>
      </c>
      <c r="V190" s="30">
        <f>124229621547</f>
        <v>124229621547</v>
      </c>
      <c r="W190" s="30">
        <f>183292123</f>
        <v>183292123</v>
      </c>
      <c r="X190" s="34">
        <f>20</f>
        <v>20</v>
      </c>
    </row>
    <row r="191" spans="1:24" x14ac:dyDescent="0.15">
      <c r="A191" s="25" t="s">
        <v>966</v>
      </c>
      <c r="B191" s="25" t="s">
        <v>611</v>
      </c>
      <c r="C191" s="25" t="s">
        <v>612</v>
      </c>
      <c r="D191" s="25" t="s">
        <v>613</v>
      </c>
      <c r="E191" s="26" t="s">
        <v>45</v>
      </c>
      <c r="F191" s="27" t="s">
        <v>45</v>
      </c>
      <c r="G191" s="28" t="s">
        <v>45</v>
      </c>
      <c r="H191" s="29"/>
      <c r="I191" s="29" t="s">
        <v>589</v>
      </c>
      <c r="J191" s="30">
        <v>1</v>
      </c>
      <c r="K191" s="31">
        <f>1726</f>
        <v>1726</v>
      </c>
      <c r="L191" s="32" t="s">
        <v>904</v>
      </c>
      <c r="M191" s="31">
        <f>1736</f>
        <v>1736</v>
      </c>
      <c r="N191" s="32" t="s">
        <v>904</v>
      </c>
      <c r="O191" s="31">
        <f>1519</f>
        <v>1519</v>
      </c>
      <c r="P191" s="32" t="s">
        <v>814</v>
      </c>
      <c r="Q191" s="31">
        <f>1585</f>
        <v>1585</v>
      </c>
      <c r="R191" s="32" t="s">
        <v>94</v>
      </c>
      <c r="S191" s="33">
        <f>1615.75</f>
        <v>1615.75</v>
      </c>
      <c r="T191" s="30">
        <f>3097071</f>
        <v>3097071</v>
      </c>
      <c r="U191" s="30">
        <f>4</f>
        <v>4</v>
      </c>
      <c r="V191" s="30">
        <f>4985991529</f>
        <v>4985991529</v>
      </c>
      <c r="W191" s="30">
        <f>6128</f>
        <v>6128</v>
      </c>
      <c r="X191" s="34">
        <f>20</f>
        <v>20</v>
      </c>
    </row>
    <row r="192" spans="1:24" x14ac:dyDescent="0.15">
      <c r="A192" s="25" t="s">
        <v>966</v>
      </c>
      <c r="B192" s="25" t="s">
        <v>614</v>
      </c>
      <c r="C192" s="25" t="s">
        <v>615</v>
      </c>
      <c r="D192" s="25" t="s">
        <v>616</v>
      </c>
      <c r="E192" s="26" t="s">
        <v>45</v>
      </c>
      <c r="F192" s="27" t="s">
        <v>45</v>
      </c>
      <c r="G192" s="28" t="s">
        <v>45</v>
      </c>
      <c r="H192" s="29"/>
      <c r="I192" s="29" t="s">
        <v>589</v>
      </c>
      <c r="J192" s="30">
        <v>1</v>
      </c>
      <c r="K192" s="31">
        <f>30720</f>
        <v>30720</v>
      </c>
      <c r="L192" s="32" t="s">
        <v>904</v>
      </c>
      <c r="M192" s="31">
        <f>31380</f>
        <v>31380</v>
      </c>
      <c r="N192" s="32" t="s">
        <v>66</v>
      </c>
      <c r="O192" s="31">
        <f>28135</f>
        <v>28135</v>
      </c>
      <c r="P192" s="32" t="s">
        <v>266</v>
      </c>
      <c r="Q192" s="31">
        <f>28410</f>
        <v>28410</v>
      </c>
      <c r="R192" s="32" t="s">
        <v>94</v>
      </c>
      <c r="S192" s="33">
        <f>30010.25</f>
        <v>30010.25</v>
      </c>
      <c r="T192" s="30">
        <f>116917</f>
        <v>116917</v>
      </c>
      <c r="U192" s="30" t="str">
        <f>"－"</f>
        <v>－</v>
      </c>
      <c r="V192" s="30">
        <f>3448301075</f>
        <v>3448301075</v>
      </c>
      <c r="W192" s="30" t="str">
        <f>"－"</f>
        <v>－</v>
      </c>
      <c r="X192" s="34">
        <f>20</f>
        <v>20</v>
      </c>
    </row>
    <row r="193" spans="1:24" x14ac:dyDescent="0.15">
      <c r="A193" s="25" t="s">
        <v>966</v>
      </c>
      <c r="B193" s="25" t="s">
        <v>617</v>
      </c>
      <c r="C193" s="25" t="s">
        <v>618</v>
      </c>
      <c r="D193" s="25" t="s">
        <v>619</v>
      </c>
      <c r="E193" s="26" t="s">
        <v>45</v>
      </c>
      <c r="F193" s="27" t="s">
        <v>45</v>
      </c>
      <c r="G193" s="28" t="s">
        <v>45</v>
      </c>
      <c r="H193" s="29"/>
      <c r="I193" s="29" t="s">
        <v>589</v>
      </c>
      <c r="J193" s="30">
        <v>1</v>
      </c>
      <c r="K193" s="31">
        <f>2844</f>
        <v>2844</v>
      </c>
      <c r="L193" s="32" t="s">
        <v>904</v>
      </c>
      <c r="M193" s="31">
        <f>2988</f>
        <v>2988</v>
      </c>
      <c r="N193" s="32" t="s">
        <v>266</v>
      </c>
      <c r="O193" s="31">
        <f>2819</f>
        <v>2819</v>
      </c>
      <c r="P193" s="32" t="s">
        <v>66</v>
      </c>
      <c r="Q193" s="31">
        <f>2972</f>
        <v>2972</v>
      </c>
      <c r="R193" s="32" t="s">
        <v>94</v>
      </c>
      <c r="S193" s="33">
        <f>2888.35</f>
        <v>2888.35</v>
      </c>
      <c r="T193" s="30">
        <f>518043</f>
        <v>518043</v>
      </c>
      <c r="U193" s="30">
        <f>102600</f>
        <v>102600</v>
      </c>
      <c r="V193" s="30">
        <f>1503881834</f>
        <v>1503881834</v>
      </c>
      <c r="W193" s="30">
        <f>297432513</f>
        <v>297432513</v>
      </c>
      <c r="X193" s="34">
        <f>20</f>
        <v>20</v>
      </c>
    </row>
    <row r="194" spans="1:24" x14ac:dyDescent="0.15">
      <c r="A194" s="25" t="s">
        <v>966</v>
      </c>
      <c r="B194" s="25" t="s">
        <v>620</v>
      </c>
      <c r="C194" s="25" t="s">
        <v>621</v>
      </c>
      <c r="D194" s="25" t="s">
        <v>622</v>
      </c>
      <c r="E194" s="26" t="s">
        <v>45</v>
      </c>
      <c r="F194" s="27" t="s">
        <v>45</v>
      </c>
      <c r="G194" s="28" t="s">
        <v>45</v>
      </c>
      <c r="H194" s="29"/>
      <c r="I194" s="29" t="s">
        <v>589</v>
      </c>
      <c r="J194" s="30">
        <v>1</v>
      </c>
      <c r="K194" s="31">
        <f>8340</f>
        <v>8340</v>
      </c>
      <c r="L194" s="32" t="s">
        <v>904</v>
      </c>
      <c r="M194" s="31">
        <f>9078</f>
        <v>9078</v>
      </c>
      <c r="N194" s="32" t="s">
        <v>810</v>
      </c>
      <c r="O194" s="31">
        <f>7368</f>
        <v>7368</v>
      </c>
      <c r="P194" s="32" t="s">
        <v>815</v>
      </c>
      <c r="Q194" s="31">
        <f>7495</f>
        <v>7495</v>
      </c>
      <c r="R194" s="32" t="s">
        <v>94</v>
      </c>
      <c r="S194" s="33">
        <f>8143.45</f>
        <v>8143.45</v>
      </c>
      <c r="T194" s="30">
        <f>92115</f>
        <v>92115</v>
      </c>
      <c r="U194" s="30" t="str">
        <f>"－"</f>
        <v>－</v>
      </c>
      <c r="V194" s="30">
        <f>775902000</f>
        <v>775902000</v>
      </c>
      <c r="W194" s="30" t="str">
        <f>"－"</f>
        <v>－</v>
      </c>
      <c r="X194" s="34">
        <f>20</f>
        <v>20</v>
      </c>
    </row>
    <row r="195" spans="1:24" x14ac:dyDescent="0.15">
      <c r="A195" s="25" t="s">
        <v>966</v>
      </c>
      <c r="B195" s="25" t="s">
        <v>623</v>
      </c>
      <c r="C195" s="25" t="s">
        <v>624</v>
      </c>
      <c r="D195" s="25" t="s">
        <v>625</v>
      </c>
      <c r="E195" s="26" t="s">
        <v>45</v>
      </c>
      <c r="F195" s="27" t="s">
        <v>45</v>
      </c>
      <c r="G195" s="28" t="s">
        <v>45</v>
      </c>
      <c r="H195" s="29"/>
      <c r="I195" s="29" t="s">
        <v>589</v>
      </c>
      <c r="J195" s="30">
        <v>1</v>
      </c>
      <c r="K195" s="31">
        <f>15510</f>
        <v>15510</v>
      </c>
      <c r="L195" s="32" t="s">
        <v>904</v>
      </c>
      <c r="M195" s="31">
        <f>16250</f>
        <v>16250</v>
      </c>
      <c r="N195" s="32" t="s">
        <v>66</v>
      </c>
      <c r="O195" s="31">
        <f>15510</f>
        <v>15510</v>
      </c>
      <c r="P195" s="32" t="s">
        <v>904</v>
      </c>
      <c r="Q195" s="31">
        <f>16100</f>
        <v>16100</v>
      </c>
      <c r="R195" s="32" t="s">
        <v>812</v>
      </c>
      <c r="S195" s="33">
        <f>15919.72</f>
        <v>15919.72</v>
      </c>
      <c r="T195" s="30">
        <f>472</f>
        <v>472</v>
      </c>
      <c r="U195" s="30">
        <f>1</f>
        <v>1</v>
      </c>
      <c r="V195" s="30">
        <f>7525270</f>
        <v>7525270</v>
      </c>
      <c r="W195" s="30">
        <f>15805</f>
        <v>15805</v>
      </c>
      <c r="X195" s="34">
        <f>18</f>
        <v>18</v>
      </c>
    </row>
    <row r="196" spans="1:24" x14ac:dyDescent="0.15">
      <c r="A196" s="25" t="s">
        <v>966</v>
      </c>
      <c r="B196" s="25" t="s">
        <v>626</v>
      </c>
      <c r="C196" s="25" t="s">
        <v>627</v>
      </c>
      <c r="D196" s="25" t="s">
        <v>628</v>
      </c>
      <c r="E196" s="26" t="s">
        <v>45</v>
      </c>
      <c r="F196" s="27" t="s">
        <v>45</v>
      </c>
      <c r="G196" s="28" t="s">
        <v>45</v>
      </c>
      <c r="H196" s="29"/>
      <c r="I196" s="29" t="s">
        <v>589</v>
      </c>
      <c r="J196" s="30">
        <v>1</v>
      </c>
      <c r="K196" s="31">
        <f>21790</f>
        <v>21790</v>
      </c>
      <c r="L196" s="32" t="s">
        <v>904</v>
      </c>
      <c r="M196" s="31">
        <f>23670</f>
        <v>23670</v>
      </c>
      <c r="N196" s="32" t="s">
        <v>66</v>
      </c>
      <c r="O196" s="31">
        <f>21650</f>
        <v>21650</v>
      </c>
      <c r="P196" s="32" t="s">
        <v>904</v>
      </c>
      <c r="Q196" s="31">
        <f>23140</f>
        <v>23140</v>
      </c>
      <c r="R196" s="32" t="s">
        <v>94</v>
      </c>
      <c r="S196" s="33">
        <f>22530</f>
        <v>22530</v>
      </c>
      <c r="T196" s="30">
        <f>36730</f>
        <v>36730</v>
      </c>
      <c r="U196" s="30" t="str">
        <f t="shared" ref="U196:U208" si="7">"－"</f>
        <v>－</v>
      </c>
      <c r="V196" s="30">
        <f>830233880</f>
        <v>830233880</v>
      </c>
      <c r="W196" s="30" t="str">
        <f t="shared" ref="W196:W208" si="8">"－"</f>
        <v>－</v>
      </c>
      <c r="X196" s="34">
        <f>20</f>
        <v>20</v>
      </c>
    </row>
    <row r="197" spans="1:24" x14ac:dyDescent="0.15">
      <c r="A197" s="25" t="s">
        <v>966</v>
      </c>
      <c r="B197" s="25" t="s">
        <v>629</v>
      </c>
      <c r="C197" s="25" t="s">
        <v>630</v>
      </c>
      <c r="D197" s="25" t="s">
        <v>631</v>
      </c>
      <c r="E197" s="26" t="s">
        <v>45</v>
      </c>
      <c r="F197" s="27" t="s">
        <v>45</v>
      </c>
      <c r="G197" s="28" t="s">
        <v>45</v>
      </c>
      <c r="H197" s="29"/>
      <c r="I197" s="29" t="s">
        <v>589</v>
      </c>
      <c r="J197" s="30">
        <v>1</v>
      </c>
      <c r="K197" s="31">
        <f>15510</f>
        <v>15510</v>
      </c>
      <c r="L197" s="32" t="s">
        <v>904</v>
      </c>
      <c r="M197" s="31">
        <f>16185</f>
        <v>16185</v>
      </c>
      <c r="N197" s="32" t="s">
        <v>815</v>
      </c>
      <c r="O197" s="31">
        <f>15300</f>
        <v>15300</v>
      </c>
      <c r="P197" s="32" t="s">
        <v>811</v>
      </c>
      <c r="Q197" s="31">
        <f>15750</f>
        <v>15750</v>
      </c>
      <c r="R197" s="32" t="s">
        <v>812</v>
      </c>
      <c r="S197" s="33">
        <f>15717.81</f>
        <v>15717.81</v>
      </c>
      <c r="T197" s="30">
        <f>415</f>
        <v>415</v>
      </c>
      <c r="U197" s="30" t="str">
        <f t="shared" si="7"/>
        <v>－</v>
      </c>
      <c r="V197" s="30">
        <f>6487195</f>
        <v>6487195</v>
      </c>
      <c r="W197" s="30" t="str">
        <f t="shared" si="8"/>
        <v>－</v>
      </c>
      <c r="X197" s="34">
        <f>16</f>
        <v>16</v>
      </c>
    </row>
    <row r="198" spans="1:24" x14ac:dyDescent="0.15">
      <c r="A198" s="25" t="s">
        <v>966</v>
      </c>
      <c r="B198" s="25" t="s">
        <v>632</v>
      </c>
      <c r="C198" s="25" t="s">
        <v>633</v>
      </c>
      <c r="D198" s="25" t="s">
        <v>634</v>
      </c>
      <c r="E198" s="26" t="s">
        <v>45</v>
      </c>
      <c r="F198" s="27" t="s">
        <v>45</v>
      </c>
      <c r="G198" s="28" t="s">
        <v>45</v>
      </c>
      <c r="H198" s="29"/>
      <c r="I198" s="29" t="s">
        <v>589</v>
      </c>
      <c r="J198" s="30">
        <v>1</v>
      </c>
      <c r="K198" s="31">
        <f>18330</f>
        <v>18330</v>
      </c>
      <c r="L198" s="32" t="s">
        <v>904</v>
      </c>
      <c r="M198" s="31">
        <f>19995</f>
        <v>19995</v>
      </c>
      <c r="N198" s="32" t="s">
        <v>810</v>
      </c>
      <c r="O198" s="31">
        <f>17380</f>
        <v>17380</v>
      </c>
      <c r="P198" s="32" t="s">
        <v>266</v>
      </c>
      <c r="Q198" s="31">
        <f>18410</f>
        <v>18410</v>
      </c>
      <c r="R198" s="32" t="s">
        <v>94</v>
      </c>
      <c r="S198" s="33">
        <f>18759.25</f>
        <v>18759.25</v>
      </c>
      <c r="T198" s="30">
        <f>34397</f>
        <v>34397</v>
      </c>
      <c r="U198" s="30" t="str">
        <f t="shared" si="7"/>
        <v>－</v>
      </c>
      <c r="V198" s="30">
        <f>654741165</f>
        <v>654741165</v>
      </c>
      <c r="W198" s="30" t="str">
        <f t="shared" si="8"/>
        <v>－</v>
      </c>
      <c r="X198" s="34">
        <f>20</f>
        <v>20</v>
      </c>
    </row>
    <row r="199" spans="1:24" x14ac:dyDescent="0.15">
      <c r="A199" s="25" t="s">
        <v>966</v>
      </c>
      <c r="B199" s="25" t="s">
        <v>635</v>
      </c>
      <c r="C199" s="25" t="s">
        <v>636</v>
      </c>
      <c r="D199" s="25" t="s">
        <v>637</v>
      </c>
      <c r="E199" s="26" t="s">
        <v>45</v>
      </c>
      <c r="F199" s="27" t="s">
        <v>45</v>
      </c>
      <c r="G199" s="28" t="s">
        <v>45</v>
      </c>
      <c r="H199" s="29"/>
      <c r="I199" s="29" t="s">
        <v>589</v>
      </c>
      <c r="J199" s="30">
        <v>1</v>
      </c>
      <c r="K199" s="31">
        <f>4240</f>
        <v>4240</v>
      </c>
      <c r="L199" s="32" t="s">
        <v>904</v>
      </c>
      <c r="M199" s="31">
        <f>4650</f>
        <v>4650</v>
      </c>
      <c r="N199" s="32" t="s">
        <v>815</v>
      </c>
      <c r="O199" s="31">
        <f>4050</f>
        <v>4050</v>
      </c>
      <c r="P199" s="32" t="s">
        <v>810</v>
      </c>
      <c r="Q199" s="31">
        <f>4550</f>
        <v>4550</v>
      </c>
      <c r="R199" s="32" t="s">
        <v>94</v>
      </c>
      <c r="S199" s="33">
        <f>4345.5</f>
        <v>4345.5</v>
      </c>
      <c r="T199" s="30">
        <f>12552</f>
        <v>12552</v>
      </c>
      <c r="U199" s="30" t="str">
        <f t="shared" si="7"/>
        <v>－</v>
      </c>
      <c r="V199" s="30">
        <f>54929060</f>
        <v>54929060</v>
      </c>
      <c r="W199" s="30" t="str">
        <f t="shared" si="8"/>
        <v>－</v>
      </c>
      <c r="X199" s="34">
        <f>20</f>
        <v>20</v>
      </c>
    </row>
    <row r="200" spans="1:24" x14ac:dyDescent="0.15">
      <c r="A200" s="25" t="s">
        <v>966</v>
      </c>
      <c r="B200" s="25" t="s">
        <v>638</v>
      </c>
      <c r="C200" s="25" t="s">
        <v>639</v>
      </c>
      <c r="D200" s="25" t="s">
        <v>640</v>
      </c>
      <c r="E200" s="26" t="s">
        <v>45</v>
      </c>
      <c r="F200" s="27" t="s">
        <v>45</v>
      </c>
      <c r="G200" s="28" t="s">
        <v>45</v>
      </c>
      <c r="H200" s="29"/>
      <c r="I200" s="29" t="s">
        <v>589</v>
      </c>
      <c r="J200" s="30">
        <v>1</v>
      </c>
      <c r="K200" s="31">
        <f>13325</f>
        <v>13325</v>
      </c>
      <c r="L200" s="32" t="s">
        <v>904</v>
      </c>
      <c r="M200" s="31">
        <f>14075</f>
        <v>14075</v>
      </c>
      <c r="N200" s="32" t="s">
        <v>87</v>
      </c>
      <c r="O200" s="31">
        <f>12700</f>
        <v>12700</v>
      </c>
      <c r="P200" s="32" t="s">
        <v>70</v>
      </c>
      <c r="Q200" s="31">
        <f>13665</f>
        <v>13665</v>
      </c>
      <c r="R200" s="32" t="s">
        <v>94</v>
      </c>
      <c r="S200" s="33">
        <f>13388.33</f>
        <v>13388.33</v>
      </c>
      <c r="T200" s="30">
        <f>2552</f>
        <v>2552</v>
      </c>
      <c r="U200" s="30" t="str">
        <f t="shared" si="7"/>
        <v>－</v>
      </c>
      <c r="V200" s="30">
        <f>33932815</f>
        <v>33932815</v>
      </c>
      <c r="W200" s="30" t="str">
        <f t="shared" si="8"/>
        <v>－</v>
      </c>
      <c r="X200" s="34">
        <f>18</f>
        <v>18</v>
      </c>
    </row>
    <row r="201" spans="1:24" x14ac:dyDescent="0.15">
      <c r="A201" s="25" t="s">
        <v>966</v>
      </c>
      <c r="B201" s="25" t="s">
        <v>641</v>
      </c>
      <c r="C201" s="25" t="s">
        <v>642</v>
      </c>
      <c r="D201" s="25" t="s">
        <v>643</v>
      </c>
      <c r="E201" s="26" t="s">
        <v>45</v>
      </c>
      <c r="F201" s="27" t="s">
        <v>45</v>
      </c>
      <c r="G201" s="28" t="s">
        <v>45</v>
      </c>
      <c r="H201" s="29"/>
      <c r="I201" s="29" t="s">
        <v>589</v>
      </c>
      <c r="J201" s="30">
        <v>1</v>
      </c>
      <c r="K201" s="31">
        <f>11815</f>
        <v>11815</v>
      </c>
      <c r="L201" s="32" t="s">
        <v>814</v>
      </c>
      <c r="M201" s="31">
        <f>12015</f>
        <v>12015</v>
      </c>
      <c r="N201" s="32" t="s">
        <v>815</v>
      </c>
      <c r="O201" s="31">
        <f>11815</f>
        <v>11815</v>
      </c>
      <c r="P201" s="32" t="s">
        <v>814</v>
      </c>
      <c r="Q201" s="31">
        <f>12015</f>
        <v>12015</v>
      </c>
      <c r="R201" s="32" t="s">
        <v>815</v>
      </c>
      <c r="S201" s="33">
        <f>11915</f>
        <v>11915</v>
      </c>
      <c r="T201" s="30">
        <f>3</f>
        <v>3</v>
      </c>
      <c r="U201" s="30" t="str">
        <f t="shared" si="7"/>
        <v>－</v>
      </c>
      <c r="V201" s="30">
        <f>35645</f>
        <v>35645</v>
      </c>
      <c r="W201" s="30" t="str">
        <f t="shared" si="8"/>
        <v>－</v>
      </c>
      <c r="X201" s="34">
        <f>2</f>
        <v>2</v>
      </c>
    </row>
    <row r="202" spans="1:24" x14ac:dyDescent="0.15">
      <c r="A202" s="25" t="s">
        <v>966</v>
      </c>
      <c r="B202" s="25" t="s">
        <v>644</v>
      </c>
      <c r="C202" s="25" t="s">
        <v>645</v>
      </c>
      <c r="D202" s="25" t="s">
        <v>646</v>
      </c>
      <c r="E202" s="26" t="s">
        <v>45</v>
      </c>
      <c r="F202" s="27" t="s">
        <v>45</v>
      </c>
      <c r="G202" s="28" t="s">
        <v>45</v>
      </c>
      <c r="H202" s="29"/>
      <c r="I202" s="29" t="s">
        <v>589</v>
      </c>
      <c r="J202" s="30">
        <v>1</v>
      </c>
      <c r="K202" s="31">
        <f>15230</f>
        <v>15230</v>
      </c>
      <c r="L202" s="32" t="s">
        <v>904</v>
      </c>
      <c r="M202" s="31">
        <f>15565</f>
        <v>15565</v>
      </c>
      <c r="N202" s="32" t="s">
        <v>815</v>
      </c>
      <c r="O202" s="31">
        <f>14840</f>
        <v>14840</v>
      </c>
      <c r="P202" s="32" t="s">
        <v>912</v>
      </c>
      <c r="Q202" s="31">
        <f>15430</f>
        <v>15430</v>
      </c>
      <c r="R202" s="32" t="s">
        <v>266</v>
      </c>
      <c r="S202" s="33">
        <f>15280.63</f>
        <v>15280.63</v>
      </c>
      <c r="T202" s="30">
        <f>373</f>
        <v>373</v>
      </c>
      <c r="U202" s="30" t="str">
        <f t="shared" si="7"/>
        <v>－</v>
      </c>
      <c r="V202" s="30">
        <f>5706055</f>
        <v>5706055</v>
      </c>
      <c r="W202" s="30" t="str">
        <f t="shared" si="8"/>
        <v>－</v>
      </c>
      <c r="X202" s="34">
        <f>8</f>
        <v>8</v>
      </c>
    </row>
    <row r="203" spans="1:24" x14ac:dyDescent="0.15">
      <c r="A203" s="25" t="s">
        <v>966</v>
      </c>
      <c r="B203" s="25" t="s">
        <v>647</v>
      </c>
      <c r="C203" s="25" t="s">
        <v>648</v>
      </c>
      <c r="D203" s="25" t="s">
        <v>649</v>
      </c>
      <c r="E203" s="26" t="s">
        <v>45</v>
      </c>
      <c r="F203" s="27" t="s">
        <v>45</v>
      </c>
      <c r="G203" s="28" t="s">
        <v>45</v>
      </c>
      <c r="H203" s="29"/>
      <c r="I203" s="29" t="s">
        <v>589</v>
      </c>
      <c r="J203" s="30">
        <v>1</v>
      </c>
      <c r="K203" s="31">
        <f>15685</f>
        <v>15685</v>
      </c>
      <c r="L203" s="32" t="s">
        <v>814</v>
      </c>
      <c r="M203" s="31">
        <f>15870</f>
        <v>15870</v>
      </c>
      <c r="N203" s="32" t="s">
        <v>87</v>
      </c>
      <c r="O203" s="31">
        <f>15530</f>
        <v>15530</v>
      </c>
      <c r="P203" s="32" t="s">
        <v>816</v>
      </c>
      <c r="Q203" s="31">
        <f>15665</f>
        <v>15665</v>
      </c>
      <c r="R203" s="32" t="s">
        <v>266</v>
      </c>
      <c r="S203" s="33">
        <f>15700</f>
        <v>15700</v>
      </c>
      <c r="T203" s="30">
        <f>482</f>
        <v>482</v>
      </c>
      <c r="U203" s="30" t="str">
        <f t="shared" si="7"/>
        <v>－</v>
      </c>
      <c r="V203" s="30">
        <f>7566150</f>
        <v>7566150</v>
      </c>
      <c r="W203" s="30" t="str">
        <f t="shared" si="8"/>
        <v>－</v>
      </c>
      <c r="X203" s="34">
        <f>5</f>
        <v>5</v>
      </c>
    </row>
    <row r="204" spans="1:24" x14ac:dyDescent="0.15">
      <c r="A204" s="25" t="s">
        <v>966</v>
      </c>
      <c r="B204" s="25" t="s">
        <v>650</v>
      </c>
      <c r="C204" s="25" t="s">
        <v>651</v>
      </c>
      <c r="D204" s="25" t="s">
        <v>652</v>
      </c>
      <c r="E204" s="26" t="s">
        <v>45</v>
      </c>
      <c r="F204" s="27" t="s">
        <v>45</v>
      </c>
      <c r="G204" s="28" t="s">
        <v>45</v>
      </c>
      <c r="H204" s="29"/>
      <c r="I204" s="29" t="s">
        <v>589</v>
      </c>
      <c r="J204" s="30">
        <v>1</v>
      </c>
      <c r="K204" s="31">
        <f>12420</f>
        <v>12420</v>
      </c>
      <c r="L204" s="32" t="s">
        <v>56</v>
      </c>
      <c r="M204" s="31">
        <f>12820</f>
        <v>12820</v>
      </c>
      <c r="N204" s="32" t="s">
        <v>87</v>
      </c>
      <c r="O204" s="31">
        <f>12420</f>
        <v>12420</v>
      </c>
      <c r="P204" s="32" t="s">
        <v>56</v>
      </c>
      <c r="Q204" s="31">
        <f>12820</f>
        <v>12820</v>
      </c>
      <c r="R204" s="32" t="s">
        <v>87</v>
      </c>
      <c r="S204" s="33">
        <f>12608.75</f>
        <v>12608.75</v>
      </c>
      <c r="T204" s="30">
        <f>228</f>
        <v>228</v>
      </c>
      <c r="U204" s="30" t="str">
        <f t="shared" si="7"/>
        <v>－</v>
      </c>
      <c r="V204" s="30">
        <f>2833660</f>
        <v>2833660</v>
      </c>
      <c r="W204" s="30" t="str">
        <f t="shared" si="8"/>
        <v>－</v>
      </c>
      <c r="X204" s="34">
        <f>4</f>
        <v>4</v>
      </c>
    </row>
    <row r="205" spans="1:24" x14ac:dyDescent="0.15">
      <c r="A205" s="25" t="s">
        <v>966</v>
      </c>
      <c r="B205" s="25" t="s">
        <v>653</v>
      </c>
      <c r="C205" s="25" t="s">
        <v>654</v>
      </c>
      <c r="D205" s="25" t="s">
        <v>655</v>
      </c>
      <c r="E205" s="26" t="s">
        <v>45</v>
      </c>
      <c r="F205" s="27" t="s">
        <v>45</v>
      </c>
      <c r="G205" s="28" t="s">
        <v>45</v>
      </c>
      <c r="H205" s="29"/>
      <c r="I205" s="29" t="s">
        <v>589</v>
      </c>
      <c r="J205" s="30">
        <v>1</v>
      </c>
      <c r="K205" s="31">
        <f>14305</f>
        <v>14305</v>
      </c>
      <c r="L205" s="32" t="s">
        <v>915</v>
      </c>
      <c r="M205" s="31">
        <f>14305</f>
        <v>14305</v>
      </c>
      <c r="N205" s="32" t="s">
        <v>915</v>
      </c>
      <c r="O205" s="31">
        <f>14305</f>
        <v>14305</v>
      </c>
      <c r="P205" s="32" t="s">
        <v>915</v>
      </c>
      <c r="Q205" s="31">
        <f>14305</f>
        <v>14305</v>
      </c>
      <c r="R205" s="32" t="s">
        <v>915</v>
      </c>
      <c r="S205" s="33">
        <f>14305</f>
        <v>14305</v>
      </c>
      <c r="T205" s="30">
        <f>1</f>
        <v>1</v>
      </c>
      <c r="U205" s="30" t="str">
        <f t="shared" si="7"/>
        <v>－</v>
      </c>
      <c r="V205" s="30">
        <f>14305</f>
        <v>14305</v>
      </c>
      <c r="W205" s="30" t="str">
        <f t="shared" si="8"/>
        <v>－</v>
      </c>
      <c r="X205" s="34">
        <f>1</f>
        <v>1</v>
      </c>
    </row>
    <row r="206" spans="1:24" x14ac:dyDescent="0.15">
      <c r="A206" s="25" t="s">
        <v>966</v>
      </c>
      <c r="B206" s="25" t="s">
        <v>656</v>
      </c>
      <c r="C206" s="25" t="s">
        <v>657</v>
      </c>
      <c r="D206" s="25" t="s">
        <v>658</v>
      </c>
      <c r="E206" s="26" t="s">
        <v>45</v>
      </c>
      <c r="F206" s="27" t="s">
        <v>45</v>
      </c>
      <c r="G206" s="28" t="s">
        <v>45</v>
      </c>
      <c r="H206" s="29"/>
      <c r="I206" s="29" t="s">
        <v>589</v>
      </c>
      <c r="J206" s="30">
        <v>1</v>
      </c>
      <c r="K206" s="31">
        <f>13460</f>
        <v>13460</v>
      </c>
      <c r="L206" s="32" t="s">
        <v>811</v>
      </c>
      <c r="M206" s="31">
        <f>13460</f>
        <v>13460</v>
      </c>
      <c r="N206" s="32" t="s">
        <v>811</v>
      </c>
      <c r="O206" s="31">
        <f>13460</f>
        <v>13460</v>
      </c>
      <c r="P206" s="32" t="s">
        <v>811</v>
      </c>
      <c r="Q206" s="31">
        <f>13460</f>
        <v>13460</v>
      </c>
      <c r="R206" s="32" t="s">
        <v>811</v>
      </c>
      <c r="S206" s="33">
        <f>13460</f>
        <v>13460</v>
      </c>
      <c r="T206" s="30">
        <f>7</f>
        <v>7</v>
      </c>
      <c r="U206" s="30" t="str">
        <f t="shared" si="7"/>
        <v>－</v>
      </c>
      <c r="V206" s="30">
        <f>94220</f>
        <v>94220</v>
      </c>
      <c r="W206" s="30" t="str">
        <f t="shared" si="8"/>
        <v>－</v>
      </c>
      <c r="X206" s="34">
        <f>1</f>
        <v>1</v>
      </c>
    </row>
    <row r="207" spans="1:24" x14ac:dyDescent="0.15">
      <c r="A207" s="25" t="s">
        <v>966</v>
      </c>
      <c r="B207" s="25" t="s">
        <v>659</v>
      </c>
      <c r="C207" s="25" t="s">
        <v>660</v>
      </c>
      <c r="D207" s="25" t="s">
        <v>661</v>
      </c>
      <c r="E207" s="26" t="s">
        <v>45</v>
      </c>
      <c r="F207" s="27" t="s">
        <v>45</v>
      </c>
      <c r="G207" s="28" t="s">
        <v>45</v>
      </c>
      <c r="H207" s="29"/>
      <c r="I207" s="29" t="s">
        <v>589</v>
      </c>
      <c r="J207" s="30">
        <v>1</v>
      </c>
      <c r="K207" s="31">
        <f>9556</f>
        <v>9556</v>
      </c>
      <c r="L207" s="32" t="s">
        <v>80</v>
      </c>
      <c r="M207" s="31">
        <f>9556</f>
        <v>9556</v>
      </c>
      <c r="N207" s="32" t="s">
        <v>80</v>
      </c>
      <c r="O207" s="31">
        <f>9108</f>
        <v>9108</v>
      </c>
      <c r="P207" s="32" t="s">
        <v>94</v>
      </c>
      <c r="Q207" s="31">
        <f>9108</f>
        <v>9108</v>
      </c>
      <c r="R207" s="32" t="s">
        <v>94</v>
      </c>
      <c r="S207" s="33">
        <f>9276.36</f>
        <v>9276.36</v>
      </c>
      <c r="T207" s="30">
        <f>3427</f>
        <v>3427</v>
      </c>
      <c r="U207" s="30" t="str">
        <f t="shared" si="7"/>
        <v>－</v>
      </c>
      <c r="V207" s="30">
        <f>31405778</f>
        <v>31405778</v>
      </c>
      <c r="W207" s="30" t="str">
        <f t="shared" si="8"/>
        <v>－</v>
      </c>
      <c r="X207" s="34">
        <f>11</f>
        <v>11</v>
      </c>
    </row>
    <row r="208" spans="1:24" x14ac:dyDescent="0.15">
      <c r="A208" s="25" t="s">
        <v>966</v>
      </c>
      <c r="B208" s="25" t="s">
        <v>662</v>
      </c>
      <c r="C208" s="25" t="s">
        <v>663</v>
      </c>
      <c r="D208" s="25" t="s">
        <v>664</v>
      </c>
      <c r="E208" s="26" t="s">
        <v>45</v>
      </c>
      <c r="F208" s="27" t="s">
        <v>45</v>
      </c>
      <c r="G208" s="28" t="s">
        <v>45</v>
      </c>
      <c r="H208" s="29"/>
      <c r="I208" s="29" t="s">
        <v>589</v>
      </c>
      <c r="J208" s="30">
        <v>1</v>
      </c>
      <c r="K208" s="31">
        <f>10500</f>
        <v>10500</v>
      </c>
      <c r="L208" s="32" t="s">
        <v>904</v>
      </c>
      <c r="M208" s="31">
        <f>10555</f>
        <v>10555</v>
      </c>
      <c r="N208" s="32" t="s">
        <v>80</v>
      </c>
      <c r="O208" s="31">
        <f>9658</f>
        <v>9658</v>
      </c>
      <c r="P208" s="32" t="s">
        <v>266</v>
      </c>
      <c r="Q208" s="31">
        <f>9888</f>
        <v>9888</v>
      </c>
      <c r="R208" s="32" t="s">
        <v>94</v>
      </c>
      <c r="S208" s="33">
        <f>10078.47</f>
        <v>10078.469999999999</v>
      </c>
      <c r="T208" s="30">
        <f>17438</f>
        <v>17438</v>
      </c>
      <c r="U208" s="30" t="str">
        <f t="shared" si="7"/>
        <v>－</v>
      </c>
      <c r="V208" s="30">
        <f>174244021</f>
        <v>174244021</v>
      </c>
      <c r="W208" s="30" t="str">
        <f t="shared" si="8"/>
        <v>－</v>
      </c>
      <c r="X208" s="34">
        <f>17</f>
        <v>17</v>
      </c>
    </row>
    <row r="209" spans="1:24" x14ac:dyDescent="0.15">
      <c r="A209" s="25" t="s">
        <v>966</v>
      </c>
      <c r="B209" s="25" t="s">
        <v>665</v>
      </c>
      <c r="C209" s="25" t="s">
        <v>666</v>
      </c>
      <c r="D209" s="25" t="s">
        <v>667</v>
      </c>
      <c r="E209" s="26" t="s">
        <v>45</v>
      </c>
      <c r="F209" s="27" t="s">
        <v>45</v>
      </c>
      <c r="G209" s="28" t="s">
        <v>45</v>
      </c>
      <c r="H209" s="29"/>
      <c r="I209" s="29" t="s">
        <v>589</v>
      </c>
      <c r="J209" s="30">
        <v>1</v>
      </c>
      <c r="K209" s="31">
        <f>9617</f>
        <v>9617</v>
      </c>
      <c r="L209" s="32" t="s">
        <v>811</v>
      </c>
      <c r="M209" s="31">
        <f>9700</f>
        <v>9700</v>
      </c>
      <c r="N209" s="32" t="s">
        <v>811</v>
      </c>
      <c r="O209" s="31">
        <f>9280</f>
        <v>9280</v>
      </c>
      <c r="P209" s="32" t="s">
        <v>56</v>
      </c>
      <c r="Q209" s="31">
        <f>9286</f>
        <v>9286</v>
      </c>
      <c r="R209" s="32" t="s">
        <v>94</v>
      </c>
      <c r="S209" s="33">
        <f>9435.58</f>
        <v>9435.58</v>
      </c>
      <c r="T209" s="30">
        <f>2196</f>
        <v>2196</v>
      </c>
      <c r="U209" s="30">
        <f>2</f>
        <v>2</v>
      </c>
      <c r="V209" s="30">
        <f>20732657</f>
        <v>20732657</v>
      </c>
      <c r="W209" s="30">
        <f>19004</f>
        <v>19004</v>
      </c>
      <c r="X209" s="34">
        <f>12</f>
        <v>12</v>
      </c>
    </row>
    <row r="210" spans="1:24" x14ac:dyDescent="0.15">
      <c r="A210" s="25" t="s">
        <v>966</v>
      </c>
      <c r="B210" s="25" t="s">
        <v>945</v>
      </c>
      <c r="C210" s="25" t="s">
        <v>946</v>
      </c>
      <c r="D210" s="25" t="s">
        <v>947</v>
      </c>
      <c r="E210" s="26" t="s">
        <v>45</v>
      </c>
      <c r="F210" s="27" t="s">
        <v>45</v>
      </c>
      <c r="G210" s="28" t="s">
        <v>45</v>
      </c>
      <c r="H210" s="29"/>
      <c r="I210" s="29" t="s">
        <v>589</v>
      </c>
      <c r="J210" s="30">
        <v>1</v>
      </c>
      <c r="K210" s="31">
        <f>10510</f>
        <v>10510</v>
      </c>
      <c r="L210" s="32" t="s">
        <v>80</v>
      </c>
      <c r="M210" s="31">
        <f>10510</f>
        <v>10510</v>
      </c>
      <c r="N210" s="32" t="s">
        <v>80</v>
      </c>
      <c r="O210" s="31">
        <f>10165</f>
        <v>10165</v>
      </c>
      <c r="P210" s="32" t="s">
        <v>915</v>
      </c>
      <c r="Q210" s="31">
        <f>10165</f>
        <v>10165</v>
      </c>
      <c r="R210" s="32" t="s">
        <v>915</v>
      </c>
      <c r="S210" s="33">
        <f>10286.67</f>
        <v>10286.67</v>
      </c>
      <c r="T210" s="30">
        <f>405</f>
        <v>405</v>
      </c>
      <c r="U210" s="30" t="str">
        <f>"－"</f>
        <v>－</v>
      </c>
      <c r="V210" s="30">
        <f>4117555</f>
        <v>4117555</v>
      </c>
      <c r="W210" s="30" t="str">
        <f>"－"</f>
        <v>－</v>
      </c>
      <c r="X210" s="34">
        <f>6</f>
        <v>6</v>
      </c>
    </row>
    <row r="211" spans="1:24" x14ac:dyDescent="0.15">
      <c r="A211" s="25" t="s">
        <v>966</v>
      </c>
      <c r="B211" s="25" t="s">
        <v>668</v>
      </c>
      <c r="C211" s="25" t="s">
        <v>669</v>
      </c>
      <c r="D211" s="25" t="s">
        <v>670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976.2</f>
        <v>976.2</v>
      </c>
      <c r="L211" s="32" t="s">
        <v>904</v>
      </c>
      <c r="M211" s="31">
        <f>978</f>
        <v>978</v>
      </c>
      <c r="N211" s="32" t="s">
        <v>904</v>
      </c>
      <c r="O211" s="31">
        <f>968.8</f>
        <v>968.8</v>
      </c>
      <c r="P211" s="32" t="s">
        <v>815</v>
      </c>
      <c r="Q211" s="31">
        <f>972.9</f>
        <v>972.9</v>
      </c>
      <c r="R211" s="32" t="s">
        <v>94</v>
      </c>
      <c r="S211" s="33">
        <f>972.19</f>
        <v>972.19</v>
      </c>
      <c r="T211" s="30">
        <f>6413120</f>
        <v>6413120</v>
      </c>
      <c r="U211" s="30">
        <f>5082340</f>
        <v>5082340</v>
      </c>
      <c r="V211" s="30">
        <f>6241998119</f>
        <v>6241998119</v>
      </c>
      <c r="W211" s="30">
        <f>4947617847</f>
        <v>4947617847</v>
      </c>
      <c r="X211" s="34">
        <f>20</f>
        <v>20</v>
      </c>
    </row>
    <row r="212" spans="1:24" x14ac:dyDescent="0.15">
      <c r="A212" s="25" t="s">
        <v>966</v>
      </c>
      <c r="B212" s="25" t="s">
        <v>671</v>
      </c>
      <c r="C212" s="25" t="s">
        <v>672</v>
      </c>
      <c r="D212" s="25" t="s">
        <v>673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1004.5</f>
        <v>1004.5</v>
      </c>
      <c r="L212" s="32" t="s">
        <v>904</v>
      </c>
      <c r="M212" s="31">
        <f>1021.5</f>
        <v>1021.5</v>
      </c>
      <c r="N212" s="32" t="s">
        <v>66</v>
      </c>
      <c r="O212" s="31">
        <f>997.7</f>
        <v>997.7</v>
      </c>
      <c r="P212" s="32" t="s">
        <v>912</v>
      </c>
      <c r="Q212" s="31">
        <f>1020</f>
        <v>1020</v>
      </c>
      <c r="R212" s="32" t="s">
        <v>94</v>
      </c>
      <c r="S212" s="33">
        <f>1008.3</f>
        <v>1008.3</v>
      </c>
      <c r="T212" s="30">
        <f>1159200</f>
        <v>1159200</v>
      </c>
      <c r="U212" s="30">
        <f>645690</f>
        <v>645690</v>
      </c>
      <c r="V212" s="30">
        <f>1169497545</f>
        <v>1169497545</v>
      </c>
      <c r="W212" s="30">
        <f>650716155</f>
        <v>650716155</v>
      </c>
      <c r="X212" s="34">
        <f>20</f>
        <v>20</v>
      </c>
    </row>
    <row r="213" spans="1:24" x14ac:dyDescent="0.15">
      <c r="A213" s="25" t="s">
        <v>966</v>
      </c>
      <c r="B213" s="25" t="s">
        <v>674</v>
      </c>
      <c r="C213" s="25" t="s">
        <v>675</v>
      </c>
      <c r="D213" s="25" t="s">
        <v>676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948.9</f>
        <v>948.9</v>
      </c>
      <c r="L213" s="32" t="s">
        <v>904</v>
      </c>
      <c r="M213" s="31">
        <f>948.9</f>
        <v>948.9</v>
      </c>
      <c r="N213" s="32" t="s">
        <v>904</v>
      </c>
      <c r="O213" s="31">
        <f>914.7</f>
        <v>914.7</v>
      </c>
      <c r="P213" s="32" t="s">
        <v>908</v>
      </c>
      <c r="Q213" s="31">
        <f>922.4</f>
        <v>922.4</v>
      </c>
      <c r="R213" s="32" t="s">
        <v>94</v>
      </c>
      <c r="S213" s="33">
        <f>928.25</f>
        <v>928.25</v>
      </c>
      <c r="T213" s="30">
        <f>11310150</f>
        <v>11310150</v>
      </c>
      <c r="U213" s="30">
        <f>9308340</f>
        <v>9308340</v>
      </c>
      <c r="V213" s="30">
        <f>10482677831</f>
        <v>10482677831</v>
      </c>
      <c r="W213" s="30">
        <f>8632800595</f>
        <v>8632800595</v>
      </c>
      <c r="X213" s="34">
        <f>20</f>
        <v>20</v>
      </c>
    </row>
    <row r="214" spans="1:24" x14ac:dyDescent="0.15">
      <c r="A214" s="25" t="s">
        <v>966</v>
      </c>
      <c r="B214" s="25" t="s">
        <v>677</v>
      </c>
      <c r="C214" s="25" t="s">
        <v>678</v>
      </c>
      <c r="D214" s="25" t="s">
        <v>679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1698.5</f>
        <v>1698.5</v>
      </c>
      <c r="L214" s="32" t="s">
        <v>904</v>
      </c>
      <c r="M214" s="31">
        <f>1762.5</f>
        <v>1762.5</v>
      </c>
      <c r="N214" s="32" t="s">
        <v>66</v>
      </c>
      <c r="O214" s="31">
        <f>1625.5</f>
        <v>1625.5</v>
      </c>
      <c r="P214" s="32" t="s">
        <v>266</v>
      </c>
      <c r="Q214" s="31">
        <f>1680</f>
        <v>1680</v>
      </c>
      <c r="R214" s="32" t="s">
        <v>94</v>
      </c>
      <c r="S214" s="33">
        <f>1704.65</f>
        <v>1704.65</v>
      </c>
      <c r="T214" s="30">
        <f>3030290</f>
        <v>3030290</v>
      </c>
      <c r="U214" s="30">
        <f>897630</f>
        <v>897630</v>
      </c>
      <c r="V214" s="30">
        <f>5150175118</f>
        <v>5150175118</v>
      </c>
      <c r="W214" s="30">
        <f>1527470343</f>
        <v>1527470343</v>
      </c>
      <c r="X214" s="34">
        <f>20</f>
        <v>20</v>
      </c>
    </row>
    <row r="215" spans="1:24" x14ac:dyDescent="0.15">
      <c r="A215" s="25" t="s">
        <v>966</v>
      </c>
      <c r="B215" s="25" t="s">
        <v>680</v>
      </c>
      <c r="C215" s="25" t="s">
        <v>681</v>
      </c>
      <c r="D215" s="25" t="s">
        <v>682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1523</f>
        <v>1523</v>
      </c>
      <c r="L215" s="32" t="s">
        <v>904</v>
      </c>
      <c r="M215" s="31">
        <f>1532</f>
        <v>1532</v>
      </c>
      <c r="N215" s="32" t="s">
        <v>810</v>
      </c>
      <c r="O215" s="31">
        <f>1400</f>
        <v>1400</v>
      </c>
      <c r="P215" s="32" t="s">
        <v>266</v>
      </c>
      <c r="Q215" s="31">
        <f>1417</f>
        <v>1417</v>
      </c>
      <c r="R215" s="32" t="s">
        <v>94</v>
      </c>
      <c r="S215" s="33">
        <f>1481.55</f>
        <v>1481.55</v>
      </c>
      <c r="T215" s="30">
        <f>1896210</f>
        <v>1896210</v>
      </c>
      <c r="U215" s="30">
        <f>1481240</f>
        <v>1481240</v>
      </c>
      <c r="V215" s="30">
        <f>2842116005</f>
        <v>2842116005</v>
      </c>
      <c r="W215" s="30">
        <f>2225510880</f>
        <v>2225510880</v>
      </c>
      <c r="X215" s="34">
        <f>20</f>
        <v>20</v>
      </c>
    </row>
    <row r="216" spans="1:24" x14ac:dyDescent="0.15">
      <c r="A216" s="25" t="s">
        <v>966</v>
      </c>
      <c r="B216" s="25" t="s">
        <v>683</v>
      </c>
      <c r="C216" s="25" t="s">
        <v>684</v>
      </c>
      <c r="D216" s="25" t="s">
        <v>685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1350</f>
        <v>1350</v>
      </c>
      <c r="L216" s="32" t="s">
        <v>904</v>
      </c>
      <c r="M216" s="31">
        <f>1457.5</f>
        <v>1457.5</v>
      </c>
      <c r="N216" s="32" t="s">
        <v>66</v>
      </c>
      <c r="O216" s="31">
        <f>1339</f>
        <v>1339</v>
      </c>
      <c r="P216" s="32" t="s">
        <v>816</v>
      </c>
      <c r="Q216" s="31">
        <f>1406.5</f>
        <v>1406.5</v>
      </c>
      <c r="R216" s="32" t="s">
        <v>94</v>
      </c>
      <c r="S216" s="33">
        <f>1392.43</f>
        <v>1392.43</v>
      </c>
      <c r="T216" s="30">
        <f>427400</f>
        <v>427400</v>
      </c>
      <c r="U216" s="30">
        <f>1390</f>
        <v>1390</v>
      </c>
      <c r="V216" s="30">
        <f>592380942</f>
        <v>592380942</v>
      </c>
      <c r="W216" s="30">
        <f>2028642</f>
        <v>2028642</v>
      </c>
      <c r="X216" s="34">
        <f>20</f>
        <v>20</v>
      </c>
    </row>
    <row r="217" spans="1:24" x14ac:dyDescent="0.15">
      <c r="A217" s="25" t="s">
        <v>966</v>
      </c>
      <c r="B217" s="25" t="s">
        <v>686</v>
      </c>
      <c r="C217" s="25" t="s">
        <v>687</v>
      </c>
      <c r="D217" s="25" t="s">
        <v>688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602</f>
        <v>602</v>
      </c>
      <c r="L217" s="32" t="s">
        <v>904</v>
      </c>
      <c r="M217" s="31">
        <f>653</f>
        <v>653</v>
      </c>
      <c r="N217" s="32" t="s">
        <v>810</v>
      </c>
      <c r="O217" s="31">
        <f>525.6</f>
        <v>525.6</v>
      </c>
      <c r="P217" s="32" t="s">
        <v>815</v>
      </c>
      <c r="Q217" s="31">
        <f>537.7</f>
        <v>537.70000000000005</v>
      </c>
      <c r="R217" s="32" t="s">
        <v>94</v>
      </c>
      <c r="S217" s="33">
        <f>584.82</f>
        <v>584.82000000000005</v>
      </c>
      <c r="T217" s="30">
        <f>60704540</f>
        <v>60704540</v>
      </c>
      <c r="U217" s="30">
        <f>1339030</f>
        <v>1339030</v>
      </c>
      <c r="V217" s="30">
        <f>35889884727</f>
        <v>35889884727</v>
      </c>
      <c r="W217" s="30">
        <f>775180397</f>
        <v>775180397</v>
      </c>
      <c r="X217" s="34">
        <f>20</f>
        <v>20</v>
      </c>
    </row>
    <row r="218" spans="1:24" x14ac:dyDescent="0.15">
      <c r="A218" s="25" t="s">
        <v>966</v>
      </c>
      <c r="B218" s="25" t="s">
        <v>689</v>
      </c>
      <c r="C218" s="25" t="s">
        <v>690</v>
      </c>
      <c r="D218" s="25" t="s">
        <v>691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1177.5</f>
        <v>1177.5</v>
      </c>
      <c r="L218" s="32" t="s">
        <v>904</v>
      </c>
      <c r="M218" s="31">
        <f>1206</f>
        <v>1206</v>
      </c>
      <c r="N218" s="32" t="s">
        <v>811</v>
      </c>
      <c r="O218" s="31">
        <f>1158</f>
        <v>1158</v>
      </c>
      <c r="P218" s="32" t="s">
        <v>87</v>
      </c>
      <c r="Q218" s="31">
        <f>1169</f>
        <v>1169</v>
      </c>
      <c r="R218" s="32" t="s">
        <v>94</v>
      </c>
      <c r="S218" s="33">
        <f>1174.48</f>
        <v>1174.48</v>
      </c>
      <c r="T218" s="30">
        <f>515340</f>
        <v>515340</v>
      </c>
      <c r="U218" s="30">
        <f>368000</f>
        <v>368000</v>
      </c>
      <c r="V218" s="30">
        <f>604884194</f>
        <v>604884194</v>
      </c>
      <c r="W218" s="30">
        <f>431455669</f>
        <v>431455669</v>
      </c>
      <c r="X218" s="34">
        <f>20</f>
        <v>20</v>
      </c>
    </row>
    <row r="219" spans="1:24" x14ac:dyDescent="0.15">
      <c r="A219" s="25" t="s">
        <v>966</v>
      </c>
      <c r="B219" s="25" t="s">
        <v>692</v>
      </c>
      <c r="C219" s="25" t="s">
        <v>693</v>
      </c>
      <c r="D219" s="25" t="s">
        <v>694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1136</f>
        <v>1136</v>
      </c>
      <c r="L219" s="32" t="s">
        <v>904</v>
      </c>
      <c r="M219" s="31">
        <f>1136</f>
        <v>1136</v>
      </c>
      <c r="N219" s="32" t="s">
        <v>904</v>
      </c>
      <c r="O219" s="31">
        <f>1049</f>
        <v>1049</v>
      </c>
      <c r="P219" s="32" t="s">
        <v>266</v>
      </c>
      <c r="Q219" s="31">
        <f>1080</f>
        <v>1080</v>
      </c>
      <c r="R219" s="32" t="s">
        <v>94</v>
      </c>
      <c r="S219" s="33">
        <f>1092.15</f>
        <v>1092.1500000000001</v>
      </c>
      <c r="T219" s="30">
        <f>81702</f>
        <v>81702</v>
      </c>
      <c r="U219" s="30" t="str">
        <f>"－"</f>
        <v>－</v>
      </c>
      <c r="V219" s="30">
        <f>90835148</f>
        <v>90835148</v>
      </c>
      <c r="W219" s="30" t="str">
        <f>"－"</f>
        <v>－</v>
      </c>
      <c r="X219" s="34">
        <f>20</f>
        <v>20</v>
      </c>
    </row>
    <row r="220" spans="1:24" x14ac:dyDescent="0.15">
      <c r="A220" s="25" t="s">
        <v>966</v>
      </c>
      <c r="B220" s="25" t="s">
        <v>696</v>
      </c>
      <c r="C220" s="25" t="s">
        <v>697</v>
      </c>
      <c r="D220" s="25" t="s">
        <v>698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926.6</f>
        <v>926.6</v>
      </c>
      <c r="L220" s="32" t="s">
        <v>904</v>
      </c>
      <c r="M220" s="31">
        <f>949.9</f>
        <v>949.9</v>
      </c>
      <c r="N220" s="32" t="s">
        <v>80</v>
      </c>
      <c r="O220" s="31">
        <f>925</f>
        <v>925</v>
      </c>
      <c r="P220" s="32" t="s">
        <v>813</v>
      </c>
      <c r="Q220" s="31">
        <f>934.6</f>
        <v>934.6</v>
      </c>
      <c r="R220" s="32" t="s">
        <v>94</v>
      </c>
      <c r="S220" s="33">
        <f>936.12</f>
        <v>936.12</v>
      </c>
      <c r="T220" s="30">
        <f>27560</f>
        <v>27560</v>
      </c>
      <c r="U220" s="30">
        <f>20</f>
        <v>20</v>
      </c>
      <c r="V220" s="30">
        <f>25825398</f>
        <v>25825398</v>
      </c>
      <c r="W220" s="30">
        <f>18825</f>
        <v>18825</v>
      </c>
      <c r="X220" s="34">
        <f>20</f>
        <v>20</v>
      </c>
    </row>
    <row r="221" spans="1:24" x14ac:dyDescent="0.15">
      <c r="A221" s="25" t="s">
        <v>966</v>
      </c>
      <c r="B221" s="25" t="s">
        <v>699</v>
      </c>
      <c r="C221" s="25" t="s">
        <v>700</v>
      </c>
      <c r="D221" s="25" t="s">
        <v>701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1210.5</f>
        <v>1210.5</v>
      </c>
      <c r="L221" s="32" t="s">
        <v>904</v>
      </c>
      <c r="M221" s="31">
        <f>1248</f>
        <v>1248</v>
      </c>
      <c r="N221" s="32" t="s">
        <v>810</v>
      </c>
      <c r="O221" s="31">
        <f>1143.5</f>
        <v>1143.5</v>
      </c>
      <c r="P221" s="32" t="s">
        <v>266</v>
      </c>
      <c r="Q221" s="31">
        <f>1182.5</f>
        <v>1182.5</v>
      </c>
      <c r="R221" s="32" t="s">
        <v>94</v>
      </c>
      <c r="S221" s="33">
        <f>1212.08</f>
        <v>1212.08</v>
      </c>
      <c r="T221" s="30">
        <f>77490</f>
        <v>77490</v>
      </c>
      <c r="U221" s="30" t="str">
        <f>"－"</f>
        <v>－</v>
      </c>
      <c r="V221" s="30">
        <f>92556480</f>
        <v>92556480</v>
      </c>
      <c r="W221" s="30" t="str">
        <f>"－"</f>
        <v>－</v>
      </c>
      <c r="X221" s="34">
        <f>20</f>
        <v>20</v>
      </c>
    </row>
    <row r="222" spans="1:24" x14ac:dyDescent="0.15">
      <c r="A222" s="25" t="s">
        <v>966</v>
      </c>
      <c r="B222" s="25" t="s">
        <v>702</v>
      </c>
      <c r="C222" s="25" t="s">
        <v>703</v>
      </c>
      <c r="D222" s="25" t="s">
        <v>704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1589</f>
        <v>1589</v>
      </c>
      <c r="L222" s="32" t="s">
        <v>904</v>
      </c>
      <c r="M222" s="31">
        <f>1599</f>
        <v>1599</v>
      </c>
      <c r="N222" s="32" t="s">
        <v>810</v>
      </c>
      <c r="O222" s="31">
        <f>1450</f>
        <v>1450</v>
      </c>
      <c r="P222" s="32" t="s">
        <v>266</v>
      </c>
      <c r="Q222" s="31">
        <f>1467</f>
        <v>1467</v>
      </c>
      <c r="R222" s="32" t="s">
        <v>94</v>
      </c>
      <c r="S222" s="33">
        <f>1540.33</f>
        <v>1540.33</v>
      </c>
      <c r="T222" s="30">
        <f>11500880</f>
        <v>11500880</v>
      </c>
      <c r="U222" s="30">
        <f>1731800</f>
        <v>1731800</v>
      </c>
      <c r="V222" s="30">
        <f>17598614235</f>
        <v>17598614235</v>
      </c>
      <c r="W222" s="30">
        <f>2647553990</f>
        <v>2647553990</v>
      </c>
      <c r="X222" s="34">
        <f>20</f>
        <v>20</v>
      </c>
    </row>
    <row r="223" spans="1:24" x14ac:dyDescent="0.15">
      <c r="A223" s="25" t="s">
        <v>966</v>
      </c>
      <c r="B223" s="25" t="s">
        <v>705</v>
      </c>
      <c r="C223" s="25" t="s">
        <v>706</v>
      </c>
      <c r="D223" s="25" t="s">
        <v>707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3875</f>
        <v>3875</v>
      </c>
      <c r="L223" s="32" t="s">
        <v>904</v>
      </c>
      <c r="M223" s="31">
        <f>3915</f>
        <v>3915</v>
      </c>
      <c r="N223" s="32" t="s">
        <v>810</v>
      </c>
      <c r="O223" s="31">
        <f>3435</f>
        <v>3435</v>
      </c>
      <c r="P223" s="32" t="s">
        <v>266</v>
      </c>
      <c r="Q223" s="31">
        <f>3565</f>
        <v>3565</v>
      </c>
      <c r="R223" s="32" t="s">
        <v>94</v>
      </c>
      <c r="S223" s="33">
        <f>3684</f>
        <v>3684</v>
      </c>
      <c r="T223" s="30">
        <f>41528</f>
        <v>41528</v>
      </c>
      <c r="U223" s="30" t="str">
        <f>"－"</f>
        <v>－</v>
      </c>
      <c r="V223" s="30">
        <f>151110925</f>
        <v>151110925</v>
      </c>
      <c r="W223" s="30" t="str">
        <f>"－"</f>
        <v>－</v>
      </c>
      <c r="X223" s="34">
        <f>20</f>
        <v>20</v>
      </c>
    </row>
    <row r="224" spans="1:24" x14ac:dyDescent="0.15">
      <c r="A224" s="25" t="s">
        <v>966</v>
      </c>
      <c r="B224" s="25" t="s">
        <v>708</v>
      </c>
      <c r="C224" s="25" t="s">
        <v>709</v>
      </c>
      <c r="D224" s="25" t="s">
        <v>710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1624</f>
        <v>1624</v>
      </c>
      <c r="L224" s="32" t="s">
        <v>904</v>
      </c>
      <c r="M224" s="31">
        <f>1657.5</f>
        <v>1657.5</v>
      </c>
      <c r="N224" s="32" t="s">
        <v>810</v>
      </c>
      <c r="O224" s="31">
        <f>1551.5</f>
        <v>1551.5</v>
      </c>
      <c r="P224" s="32" t="s">
        <v>266</v>
      </c>
      <c r="Q224" s="31">
        <f>1579</f>
        <v>1579</v>
      </c>
      <c r="R224" s="32" t="s">
        <v>94</v>
      </c>
      <c r="S224" s="33">
        <f>1608.59</f>
        <v>1608.59</v>
      </c>
      <c r="T224" s="30">
        <f>2400</f>
        <v>2400</v>
      </c>
      <c r="U224" s="30" t="str">
        <f>"－"</f>
        <v>－</v>
      </c>
      <c r="V224" s="30">
        <f>3822000</f>
        <v>3822000</v>
      </c>
      <c r="W224" s="30" t="str">
        <f>"－"</f>
        <v>－</v>
      </c>
      <c r="X224" s="34">
        <f>16</f>
        <v>16</v>
      </c>
    </row>
    <row r="225" spans="1:24" x14ac:dyDescent="0.15">
      <c r="A225" s="25" t="s">
        <v>966</v>
      </c>
      <c r="B225" s="25" t="s">
        <v>711</v>
      </c>
      <c r="C225" s="25" t="s">
        <v>712</v>
      </c>
      <c r="D225" s="25" t="s">
        <v>713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1969</f>
        <v>1969</v>
      </c>
      <c r="L225" s="32" t="s">
        <v>904</v>
      </c>
      <c r="M225" s="31">
        <f>2019</f>
        <v>2019</v>
      </c>
      <c r="N225" s="32" t="s">
        <v>810</v>
      </c>
      <c r="O225" s="31">
        <f>1892.5</f>
        <v>1892.5</v>
      </c>
      <c r="P225" s="32" t="s">
        <v>266</v>
      </c>
      <c r="Q225" s="31">
        <f>1941</f>
        <v>1941</v>
      </c>
      <c r="R225" s="32" t="s">
        <v>94</v>
      </c>
      <c r="S225" s="33">
        <f>1946.34</f>
        <v>1946.34</v>
      </c>
      <c r="T225" s="30">
        <f>923580</f>
        <v>923580</v>
      </c>
      <c r="U225" s="30">
        <f>460000</f>
        <v>460000</v>
      </c>
      <c r="V225" s="30">
        <f>1829848727</f>
        <v>1829848727</v>
      </c>
      <c r="W225" s="30">
        <f>917777037</f>
        <v>917777037</v>
      </c>
      <c r="X225" s="34">
        <f>19</f>
        <v>19</v>
      </c>
    </row>
    <row r="226" spans="1:24" x14ac:dyDescent="0.15">
      <c r="A226" s="25" t="s">
        <v>966</v>
      </c>
      <c r="B226" s="25" t="s">
        <v>714</v>
      </c>
      <c r="C226" s="25" t="s">
        <v>715</v>
      </c>
      <c r="D226" s="25" t="s">
        <v>716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28050</f>
        <v>28050</v>
      </c>
      <c r="L226" s="32" t="s">
        <v>904</v>
      </c>
      <c r="M226" s="31">
        <f>28280</f>
        <v>28280</v>
      </c>
      <c r="N226" s="32" t="s">
        <v>810</v>
      </c>
      <c r="O226" s="31">
        <f>26510</f>
        <v>26510</v>
      </c>
      <c r="P226" s="32" t="s">
        <v>266</v>
      </c>
      <c r="Q226" s="31">
        <f>27035</f>
        <v>27035</v>
      </c>
      <c r="R226" s="32" t="s">
        <v>94</v>
      </c>
      <c r="S226" s="33">
        <f>27389.71</f>
        <v>27389.71</v>
      </c>
      <c r="T226" s="30">
        <f>7535</f>
        <v>7535</v>
      </c>
      <c r="U226" s="30" t="str">
        <f t="shared" ref="U226:U233" si="9">"－"</f>
        <v>－</v>
      </c>
      <c r="V226" s="30">
        <f>208043800</f>
        <v>208043800</v>
      </c>
      <c r="W226" s="30" t="str">
        <f t="shared" ref="W226:W233" si="10">"－"</f>
        <v>－</v>
      </c>
      <c r="X226" s="34">
        <f>17</f>
        <v>17</v>
      </c>
    </row>
    <row r="227" spans="1:24" x14ac:dyDescent="0.15">
      <c r="A227" s="25" t="s">
        <v>966</v>
      </c>
      <c r="B227" s="25" t="s">
        <v>717</v>
      </c>
      <c r="C227" s="25" t="s">
        <v>718</v>
      </c>
      <c r="D227" s="25" t="s">
        <v>719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17890</f>
        <v>17890</v>
      </c>
      <c r="L227" s="32" t="s">
        <v>904</v>
      </c>
      <c r="M227" s="31">
        <f>18075</f>
        <v>18075</v>
      </c>
      <c r="N227" s="32" t="s">
        <v>810</v>
      </c>
      <c r="O227" s="31">
        <f>17035</f>
        <v>17035</v>
      </c>
      <c r="P227" s="32" t="s">
        <v>266</v>
      </c>
      <c r="Q227" s="31">
        <f>17130</f>
        <v>17130</v>
      </c>
      <c r="R227" s="32" t="s">
        <v>94</v>
      </c>
      <c r="S227" s="33">
        <f>17450.71</f>
        <v>17450.71</v>
      </c>
      <c r="T227" s="30">
        <f>2157</f>
        <v>2157</v>
      </c>
      <c r="U227" s="30" t="str">
        <f t="shared" si="9"/>
        <v>－</v>
      </c>
      <c r="V227" s="30">
        <f>37681545</f>
        <v>37681545</v>
      </c>
      <c r="W227" s="30" t="str">
        <f t="shared" si="10"/>
        <v>－</v>
      </c>
      <c r="X227" s="34">
        <f>7</f>
        <v>7</v>
      </c>
    </row>
    <row r="228" spans="1:24" x14ac:dyDescent="0.15">
      <c r="A228" s="25" t="s">
        <v>966</v>
      </c>
      <c r="B228" s="25" t="s">
        <v>720</v>
      </c>
      <c r="C228" s="25" t="s">
        <v>721</v>
      </c>
      <c r="D228" s="25" t="s">
        <v>722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1182</f>
        <v>1182</v>
      </c>
      <c r="L228" s="32" t="s">
        <v>904</v>
      </c>
      <c r="M228" s="31">
        <f>1199</f>
        <v>1199</v>
      </c>
      <c r="N228" s="32" t="s">
        <v>80</v>
      </c>
      <c r="O228" s="31">
        <f>1162.5</f>
        <v>1162.5</v>
      </c>
      <c r="P228" s="32" t="s">
        <v>87</v>
      </c>
      <c r="Q228" s="31">
        <f>1177</f>
        <v>1177</v>
      </c>
      <c r="R228" s="32" t="s">
        <v>266</v>
      </c>
      <c r="S228" s="33">
        <f>1180.57</f>
        <v>1180.57</v>
      </c>
      <c r="T228" s="30">
        <f>228920</f>
        <v>228920</v>
      </c>
      <c r="U228" s="30" t="str">
        <f t="shared" si="9"/>
        <v>－</v>
      </c>
      <c r="V228" s="30">
        <f>268570920</f>
        <v>268570920</v>
      </c>
      <c r="W228" s="30" t="str">
        <f t="shared" si="10"/>
        <v>－</v>
      </c>
      <c r="X228" s="34">
        <f>14</f>
        <v>14</v>
      </c>
    </row>
    <row r="229" spans="1:24" x14ac:dyDescent="0.15">
      <c r="A229" s="25" t="s">
        <v>966</v>
      </c>
      <c r="B229" s="25" t="s">
        <v>723</v>
      </c>
      <c r="C229" s="25" t="s">
        <v>724</v>
      </c>
      <c r="D229" s="25" t="s">
        <v>725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1171</f>
        <v>1171</v>
      </c>
      <c r="L229" s="32" t="s">
        <v>904</v>
      </c>
      <c r="M229" s="31">
        <f>1202</f>
        <v>1202</v>
      </c>
      <c r="N229" s="32" t="s">
        <v>811</v>
      </c>
      <c r="O229" s="31">
        <f>1151</f>
        <v>1151</v>
      </c>
      <c r="P229" s="32" t="s">
        <v>87</v>
      </c>
      <c r="Q229" s="31">
        <f>1161</f>
        <v>1161</v>
      </c>
      <c r="R229" s="32" t="s">
        <v>94</v>
      </c>
      <c r="S229" s="33">
        <f>1169.15</f>
        <v>1169.1500000000001</v>
      </c>
      <c r="T229" s="30">
        <f>3280</f>
        <v>3280</v>
      </c>
      <c r="U229" s="30" t="str">
        <f t="shared" si="9"/>
        <v>－</v>
      </c>
      <c r="V229" s="30">
        <f>3838865</f>
        <v>3838865</v>
      </c>
      <c r="W229" s="30" t="str">
        <f t="shared" si="10"/>
        <v>－</v>
      </c>
      <c r="X229" s="34">
        <f>20</f>
        <v>20</v>
      </c>
    </row>
    <row r="230" spans="1:24" x14ac:dyDescent="0.15">
      <c r="A230" s="25" t="s">
        <v>966</v>
      </c>
      <c r="B230" s="25" t="s">
        <v>726</v>
      </c>
      <c r="C230" s="25" t="s">
        <v>727</v>
      </c>
      <c r="D230" s="25" t="s">
        <v>728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1184</f>
        <v>1184</v>
      </c>
      <c r="L230" s="32" t="s">
        <v>904</v>
      </c>
      <c r="M230" s="31">
        <f>1229</f>
        <v>1229</v>
      </c>
      <c r="N230" s="32" t="s">
        <v>810</v>
      </c>
      <c r="O230" s="31">
        <f>1129</f>
        <v>1129</v>
      </c>
      <c r="P230" s="32" t="s">
        <v>70</v>
      </c>
      <c r="Q230" s="31">
        <f>1174</f>
        <v>1174</v>
      </c>
      <c r="R230" s="32" t="s">
        <v>94</v>
      </c>
      <c r="S230" s="33">
        <f>1176.85</f>
        <v>1176.8499999999999</v>
      </c>
      <c r="T230" s="30">
        <f>61453</f>
        <v>61453</v>
      </c>
      <c r="U230" s="30" t="str">
        <f t="shared" si="9"/>
        <v>－</v>
      </c>
      <c r="V230" s="30">
        <f>71307500</f>
        <v>71307500</v>
      </c>
      <c r="W230" s="30" t="str">
        <f t="shared" si="10"/>
        <v>－</v>
      </c>
      <c r="X230" s="34">
        <f>20</f>
        <v>20</v>
      </c>
    </row>
    <row r="231" spans="1:24" x14ac:dyDescent="0.15">
      <c r="A231" s="25" t="s">
        <v>966</v>
      </c>
      <c r="B231" s="25" t="s">
        <v>729</v>
      </c>
      <c r="C231" s="25" t="s">
        <v>730</v>
      </c>
      <c r="D231" s="25" t="s">
        <v>731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13520</f>
        <v>13520</v>
      </c>
      <c r="L231" s="32" t="s">
        <v>904</v>
      </c>
      <c r="M231" s="31">
        <f>14100</f>
        <v>14100</v>
      </c>
      <c r="N231" s="32" t="s">
        <v>816</v>
      </c>
      <c r="O231" s="31">
        <f>12300</f>
        <v>12300</v>
      </c>
      <c r="P231" s="32" t="s">
        <v>266</v>
      </c>
      <c r="Q231" s="31">
        <f>13060</f>
        <v>13060</v>
      </c>
      <c r="R231" s="32" t="s">
        <v>94</v>
      </c>
      <c r="S231" s="33">
        <f>13409.75</f>
        <v>13409.75</v>
      </c>
      <c r="T231" s="30">
        <f>1257</f>
        <v>1257</v>
      </c>
      <c r="U231" s="30" t="str">
        <f t="shared" si="9"/>
        <v>－</v>
      </c>
      <c r="V231" s="30">
        <f>16527905</f>
        <v>16527905</v>
      </c>
      <c r="W231" s="30" t="str">
        <f t="shared" si="10"/>
        <v>－</v>
      </c>
      <c r="X231" s="34">
        <f>20</f>
        <v>20</v>
      </c>
    </row>
    <row r="232" spans="1:24" x14ac:dyDescent="0.15">
      <c r="A232" s="25" t="s">
        <v>966</v>
      </c>
      <c r="B232" s="25" t="s">
        <v>732</v>
      </c>
      <c r="C232" s="25" t="s">
        <v>733</v>
      </c>
      <c r="D232" s="25" t="s">
        <v>734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2151</f>
        <v>2151</v>
      </c>
      <c r="L232" s="32" t="s">
        <v>904</v>
      </c>
      <c r="M232" s="31">
        <f>2210</f>
        <v>2210</v>
      </c>
      <c r="N232" s="32" t="s">
        <v>811</v>
      </c>
      <c r="O232" s="31">
        <f>2090</f>
        <v>2090</v>
      </c>
      <c r="P232" s="32" t="s">
        <v>87</v>
      </c>
      <c r="Q232" s="31">
        <f>2117</f>
        <v>2117</v>
      </c>
      <c r="R232" s="32" t="s">
        <v>94</v>
      </c>
      <c r="S232" s="33">
        <f>2128.6</f>
        <v>2128.6</v>
      </c>
      <c r="T232" s="30">
        <f>49301</f>
        <v>49301</v>
      </c>
      <c r="U232" s="30" t="str">
        <f t="shared" si="9"/>
        <v>－</v>
      </c>
      <c r="V232" s="30">
        <f>105723761</f>
        <v>105723761</v>
      </c>
      <c r="W232" s="30" t="str">
        <f t="shared" si="10"/>
        <v>－</v>
      </c>
      <c r="X232" s="34">
        <f>20</f>
        <v>20</v>
      </c>
    </row>
    <row r="233" spans="1:24" x14ac:dyDescent="0.15">
      <c r="A233" s="25" t="s">
        <v>966</v>
      </c>
      <c r="B233" s="25" t="s">
        <v>735</v>
      </c>
      <c r="C233" s="25" t="s">
        <v>736</v>
      </c>
      <c r="D233" s="25" t="s">
        <v>737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1612</f>
        <v>1612</v>
      </c>
      <c r="L233" s="32" t="s">
        <v>904</v>
      </c>
      <c r="M233" s="31">
        <f>1954.5</f>
        <v>1954.5</v>
      </c>
      <c r="N233" s="32" t="s">
        <v>87</v>
      </c>
      <c r="O233" s="31">
        <f>1350</f>
        <v>1350</v>
      </c>
      <c r="P233" s="32" t="s">
        <v>266</v>
      </c>
      <c r="Q233" s="31">
        <f>1408</f>
        <v>1408</v>
      </c>
      <c r="R233" s="32" t="s">
        <v>94</v>
      </c>
      <c r="S233" s="33">
        <f>1562</f>
        <v>1562</v>
      </c>
      <c r="T233" s="30">
        <f>5230</f>
        <v>5230</v>
      </c>
      <c r="U233" s="30" t="str">
        <f t="shared" si="9"/>
        <v>－</v>
      </c>
      <c r="V233" s="30">
        <f>8717175</f>
        <v>8717175</v>
      </c>
      <c r="W233" s="30" t="str">
        <f t="shared" si="10"/>
        <v>－</v>
      </c>
      <c r="X233" s="34">
        <f>17</f>
        <v>17</v>
      </c>
    </row>
    <row r="234" spans="1:24" x14ac:dyDescent="0.15">
      <c r="A234" s="25" t="s">
        <v>966</v>
      </c>
      <c r="B234" s="25" t="s">
        <v>738</v>
      </c>
      <c r="C234" s="25" t="s">
        <v>822</v>
      </c>
      <c r="D234" s="25" t="s">
        <v>823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931.8</f>
        <v>931.8</v>
      </c>
      <c r="L234" s="32" t="s">
        <v>904</v>
      </c>
      <c r="M234" s="31">
        <f>931.8</f>
        <v>931.8</v>
      </c>
      <c r="N234" s="32" t="s">
        <v>904</v>
      </c>
      <c r="O234" s="31">
        <f>900.7</f>
        <v>900.7</v>
      </c>
      <c r="P234" s="32" t="s">
        <v>815</v>
      </c>
      <c r="Q234" s="31">
        <f>908.6</f>
        <v>908.6</v>
      </c>
      <c r="R234" s="32" t="s">
        <v>94</v>
      </c>
      <c r="S234" s="33">
        <f>914.85</f>
        <v>914.85</v>
      </c>
      <c r="T234" s="30">
        <f>1192580</f>
        <v>1192580</v>
      </c>
      <c r="U234" s="30">
        <f>787930</f>
        <v>787930</v>
      </c>
      <c r="V234" s="30">
        <f>1082788964</f>
        <v>1082788964</v>
      </c>
      <c r="W234" s="30">
        <f>714626751</f>
        <v>714626751</v>
      </c>
      <c r="X234" s="34">
        <f>20</f>
        <v>20</v>
      </c>
    </row>
    <row r="235" spans="1:24" x14ac:dyDescent="0.15">
      <c r="A235" s="25" t="s">
        <v>966</v>
      </c>
      <c r="B235" s="25" t="s">
        <v>739</v>
      </c>
      <c r="C235" s="25" t="s">
        <v>740</v>
      </c>
      <c r="D235" s="25" t="s">
        <v>741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2046</f>
        <v>2046</v>
      </c>
      <c r="L235" s="32" t="s">
        <v>904</v>
      </c>
      <c r="M235" s="31">
        <f>2110.5</f>
        <v>2110.5</v>
      </c>
      <c r="N235" s="32" t="s">
        <v>811</v>
      </c>
      <c r="O235" s="31">
        <f>2001.5</f>
        <v>2001.5</v>
      </c>
      <c r="P235" s="32" t="s">
        <v>87</v>
      </c>
      <c r="Q235" s="31">
        <f>2031</f>
        <v>2031</v>
      </c>
      <c r="R235" s="32" t="s">
        <v>94</v>
      </c>
      <c r="S235" s="33">
        <f>2038.58</f>
        <v>2038.58</v>
      </c>
      <c r="T235" s="30">
        <f>18150</f>
        <v>18150</v>
      </c>
      <c r="U235" s="30" t="str">
        <f>"－"</f>
        <v>－</v>
      </c>
      <c r="V235" s="30">
        <f>37086440</f>
        <v>37086440</v>
      </c>
      <c r="W235" s="30" t="str">
        <f>"－"</f>
        <v>－</v>
      </c>
      <c r="X235" s="34">
        <f>20</f>
        <v>20</v>
      </c>
    </row>
    <row r="236" spans="1:24" x14ac:dyDescent="0.15">
      <c r="A236" s="25" t="s">
        <v>966</v>
      </c>
      <c r="B236" s="25" t="s">
        <v>742</v>
      </c>
      <c r="C236" s="25" t="s">
        <v>743</v>
      </c>
      <c r="D236" s="25" t="s">
        <v>744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2057.5</f>
        <v>2057.5</v>
      </c>
      <c r="L236" s="32" t="s">
        <v>904</v>
      </c>
      <c r="M236" s="31">
        <f>2107.5</f>
        <v>2107.5</v>
      </c>
      <c r="N236" s="32" t="s">
        <v>811</v>
      </c>
      <c r="O236" s="31">
        <f>1983</f>
        <v>1983</v>
      </c>
      <c r="P236" s="32" t="s">
        <v>912</v>
      </c>
      <c r="Q236" s="31">
        <f>2015.5</f>
        <v>2015.5</v>
      </c>
      <c r="R236" s="32" t="s">
        <v>94</v>
      </c>
      <c r="S236" s="33">
        <f>2029.18</f>
        <v>2029.18</v>
      </c>
      <c r="T236" s="30">
        <f>569260</f>
        <v>569260</v>
      </c>
      <c r="U236" s="30">
        <f>227640</f>
        <v>227640</v>
      </c>
      <c r="V236" s="30">
        <f>1160928718</f>
        <v>1160928718</v>
      </c>
      <c r="W236" s="30">
        <f>463714698</f>
        <v>463714698</v>
      </c>
      <c r="X236" s="34">
        <f>20</f>
        <v>20</v>
      </c>
    </row>
    <row r="237" spans="1:24" x14ac:dyDescent="0.15">
      <c r="A237" s="25" t="s">
        <v>966</v>
      </c>
      <c r="B237" s="25" t="s">
        <v>745</v>
      </c>
      <c r="C237" s="25" t="s">
        <v>746</v>
      </c>
      <c r="D237" s="25" t="s">
        <v>747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1968</f>
        <v>1968</v>
      </c>
      <c r="L237" s="32" t="s">
        <v>904</v>
      </c>
      <c r="M237" s="31">
        <f>1983</f>
        <v>1983</v>
      </c>
      <c r="N237" s="32" t="s">
        <v>810</v>
      </c>
      <c r="O237" s="31">
        <f>1855</f>
        <v>1855</v>
      </c>
      <c r="P237" s="32" t="s">
        <v>266</v>
      </c>
      <c r="Q237" s="31">
        <f>1903</f>
        <v>1903</v>
      </c>
      <c r="R237" s="32" t="s">
        <v>94</v>
      </c>
      <c r="S237" s="33">
        <f>1914.57</f>
        <v>1914.57</v>
      </c>
      <c r="T237" s="30">
        <f>115930</f>
        <v>115930</v>
      </c>
      <c r="U237" s="30" t="str">
        <f>"－"</f>
        <v>－</v>
      </c>
      <c r="V237" s="30">
        <f>227604825</f>
        <v>227604825</v>
      </c>
      <c r="W237" s="30" t="str">
        <f>"－"</f>
        <v>－</v>
      </c>
      <c r="X237" s="34">
        <f>15</f>
        <v>15</v>
      </c>
    </row>
    <row r="238" spans="1:24" x14ac:dyDescent="0.15">
      <c r="A238" s="25" t="s">
        <v>966</v>
      </c>
      <c r="B238" s="25" t="s">
        <v>748</v>
      </c>
      <c r="C238" s="25" t="s">
        <v>749</v>
      </c>
      <c r="D238" s="25" t="s">
        <v>750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15920</f>
        <v>15920</v>
      </c>
      <c r="L238" s="32" t="s">
        <v>904</v>
      </c>
      <c r="M238" s="31">
        <f>16560</f>
        <v>16560</v>
      </c>
      <c r="N238" s="32" t="s">
        <v>66</v>
      </c>
      <c r="O238" s="31">
        <f>15280</f>
        <v>15280</v>
      </c>
      <c r="P238" s="32" t="s">
        <v>266</v>
      </c>
      <c r="Q238" s="31">
        <f>15795</f>
        <v>15795</v>
      </c>
      <c r="R238" s="32" t="s">
        <v>94</v>
      </c>
      <c r="S238" s="33">
        <f>16015.5</f>
        <v>16015.5</v>
      </c>
      <c r="T238" s="30">
        <f>965845</f>
        <v>965845</v>
      </c>
      <c r="U238" s="30">
        <f>67738</f>
        <v>67738</v>
      </c>
      <c r="V238" s="30">
        <f>15415985981</f>
        <v>15415985981</v>
      </c>
      <c r="W238" s="30">
        <f>1081402551</f>
        <v>1081402551</v>
      </c>
      <c r="X238" s="34">
        <f>20</f>
        <v>20</v>
      </c>
    </row>
    <row r="239" spans="1:24" x14ac:dyDescent="0.15">
      <c r="A239" s="25" t="s">
        <v>966</v>
      </c>
      <c r="B239" s="25" t="s">
        <v>751</v>
      </c>
      <c r="C239" s="25" t="s">
        <v>752</v>
      </c>
      <c r="D239" s="25" t="s">
        <v>753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14240</f>
        <v>14240</v>
      </c>
      <c r="L239" s="32" t="s">
        <v>904</v>
      </c>
      <c r="M239" s="31">
        <f>14780</f>
        <v>14780</v>
      </c>
      <c r="N239" s="32" t="s">
        <v>87</v>
      </c>
      <c r="O239" s="31">
        <f>13715</f>
        <v>13715</v>
      </c>
      <c r="P239" s="32" t="s">
        <v>266</v>
      </c>
      <c r="Q239" s="31">
        <f>14260</f>
        <v>14260</v>
      </c>
      <c r="R239" s="32" t="s">
        <v>94</v>
      </c>
      <c r="S239" s="33">
        <f>14378.25</f>
        <v>14378.25</v>
      </c>
      <c r="T239" s="30">
        <f>144084</f>
        <v>144084</v>
      </c>
      <c r="U239" s="30">
        <f>15</f>
        <v>15</v>
      </c>
      <c r="V239" s="30">
        <f>2059548570</f>
        <v>2059548570</v>
      </c>
      <c r="W239" s="30">
        <f>212925</f>
        <v>212925</v>
      </c>
      <c r="X239" s="34">
        <f>20</f>
        <v>20</v>
      </c>
    </row>
    <row r="240" spans="1:24" x14ac:dyDescent="0.15">
      <c r="A240" s="25" t="s">
        <v>966</v>
      </c>
      <c r="B240" s="25" t="s">
        <v>754</v>
      </c>
      <c r="C240" s="25" t="s">
        <v>755</v>
      </c>
      <c r="D240" s="25" t="s">
        <v>756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26180</f>
        <v>26180</v>
      </c>
      <c r="L240" s="32" t="s">
        <v>811</v>
      </c>
      <c r="M240" s="31">
        <f>26350</f>
        <v>26350</v>
      </c>
      <c r="N240" s="32" t="s">
        <v>811</v>
      </c>
      <c r="O240" s="31">
        <f>25240</f>
        <v>25240</v>
      </c>
      <c r="P240" s="32" t="s">
        <v>815</v>
      </c>
      <c r="Q240" s="31">
        <f>25525</f>
        <v>25525</v>
      </c>
      <c r="R240" s="32" t="s">
        <v>94</v>
      </c>
      <c r="S240" s="33">
        <f>25638.57</f>
        <v>25638.57</v>
      </c>
      <c r="T240" s="30">
        <f>42</f>
        <v>42</v>
      </c>
      <c r="U240" s="30" t="str">
        <f>"－"</f>
        <v>－</v>
      </c>
      <c r="V240" s="30">
        <f>1074150</f>
        <v>1074150</v>
      </c>
      <c r="W240" s="30" t="str">
        <f>"－"</f>
        <v>－</v>
      </c>
      <c r="X240" s="34">
        <f>7</f>
        <v>7</v>
      </c>
    </row>
    <row r="241" spans="1:24" x14ac:dyDescent="0.15">
      <c r="A241" s="25" t="s">
        <v>966</v>
      </c>
      <c r="B241" s="25" t="s">
        <v>757</v>
      </c>
      <c r="C241" s="25" t="s">
        <v>758</v>
      </c>
      <c r="D241" s="25" t="s">
        <v>759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2639</f>
        <v>2639</v>
      </c>
      <c r="L241" s="32" t="s">
        <v>904</v>
      </c>
      <c r="M241" s="31">
        <f>2657</f>
        <v>2657</v>
      </c>
      <c r="N241" s="32" t="s">
        <v>904</v>
      </c>
      <c r="O241" s="31">
        <f>2609</f>
        <v>2609</v>
      </c>
      <c r="P241" s="32" t="s">
        <v>815</v>
      </c>
      <c r="Q241" s="31">
        <f>2628</f>
        <v>2628</v>
      </c>
      <c r="R241" s="32" t="s">
        <v>94</v>
      </c>
      <c r="S241" s="33">
        <f>2625.15</f>
        <v>2625.15</v>
      </c>
      <c r="T241" s="30">
        <f>3503108</f>
        <v>3503108</v>
      </c>
      <c r="U241" s="30">
        <f>2898362</f>
        <v>2898362</v>
      </c>
      <c r="V241" s="30">
        <f>9169652511</f>
        <v>9169652511</v>
      </c>
      <c r="W241" s="30">
        <f>7581176400</f>
        <v>7581176400</v>
      </c>
      <c r="X241" s="34">
        <f>20</f>
        <v>20</v>
      </c>
    </row>
    <row r="242" spans="1:24" x14ac:dyDescent="0.15">
      <c r="A242" s="25" t="s">
        <v>966</v>
      </c>
      <c r="B242" s="25" t="s">
        <v>760</v>
      </c>
      <c r="C242" s="25" t="s">
        <v>761</v>
      </c>
      <c r="D242" s="25" t="s">
        <v>762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3012</f>
        <v>3012</v>
      </c>
      <c r="L242" s="32" t="s">
        <v>904</v>
      </c>
      <c r="M242" s="31">
        <f>3070</f>
        <v>3070</v>
      </c>
      <c r="N242" s="32" t="s">
        <v>904</v>
      </c>
      <c r="O242" s="31">
        <f>2878.5</f>
        <v>2878.5</v>
      </c>
      <c r="P242" s="32" t="s">
        <v>266</v>
      </c>
      <c r="Q242" s="31">
        <f>2889</f>
        <v>2889</v>
      </c>
      <c r="R242" s="32" t="s">
        <v>94</v>
      </c>
      <c r="S242" s="33">
        <f>2981.35</f>
        <v>2981.35</v>
      </c>
      <c r="T242" s="30">
        <f>3615320</f>
        <v>3615320</v>
      </c>
      <c r="U242" s="30">
        <f>1896920</f>
        <v>1896920</v>
      </c>
      <c r="V242" s="30">
        <f>10830886638</f>
        <v>10830886638</v>
      </c>
      <c r="W242" s="30">
        <f>5686013273</f>
        <v>5686013273</v>
      </c>
      <c r="X242" s="34">
        <f>20</f>
        <v>20</v>
      </c>
    </row>
    <row r="243" spans="1:24" x14ac:dyDescent="0.15">
      <c r="A243" s="25" t="s">
        <v>966</v>
      </c>
      <c r="B243" s="25" t="s">
        <v>763</v>
      </c>
      <c r="C243" s="25" t="s">
        <v>764</v>
      </c>
      <c r="D243" s="25" t="s">
        <v>765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296.1</f>
        <v>296.10000000000002</v>
      </c>
      <c r="L243" s="32" t="s">
        <v>904</v>
      </c>
      <c r="M243" s="31">
        <f>298.5</f>
        <v>298.5</v>
      </c>
      <c r="N243" s="32" t="s">
        <v>810</v>
      </c>
      <c r="O243" s="31">
        <f>270.7</f>
        <v>270.7</v>
      </c>
      <c r="P243" s="32" t="s">
        <v>266</v>
      </c>
      <c r="Q243" s="31">
        <f>274</f>
        <v>274</v>
      </c>
      <c r="R243" s="32" t="s">
        <v>94</v>
      </c>
      <c r="S243" s="33">
        <f>287.65</f>
        <v>287.64999999999998</v>
      </c>
      <c r="T243" s="30">
        <f>41068060</f>
        <v>41068060</v>
      </c>
      <c r="U243" s="30">
        <f>6093050</f>
        <v>6093050</v>
      </c>
      <c r="V243" s="30">
        <f>11632039199</f>
        <v>11632039199</v>
      </c>
      <c r="W243" s="30">
        <f>1684680639</f>
        <v>1684680639</v>
      </c>
      <c r="X243" s="34">
        <f>20</f>
        <v>20</v>
      </c>
    </row>
    <row r="244" spans="1:24" x14ac:dyDescent="0.15">
      <c r="A244" s="25" t="s">
        <v>966</v>
      </c>
      <c r="B244" s="25" t="s">
        <v>766</v>
      </c>
      <c r="C244" s="25" t="s">
        <v>767</v>
      </c>
      <c r="D244" s="25" t="s">
        <v>768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2005</f>
        <v>2005</v>
      </c>
      <c r="L244" s="32" t="s">
        <v>904</v>
      </c>
      <c r="M244" s="31">
        <f>2060</f>
        <v>2060</v>
      </c>
      <c r="N244" s="32" t="s">
        <v>87</v>
      </c>
      <c r="O244" s="31">
        <f>1919</f>
        <v>1919</v>
      </c>
      <c r="P244" s="32" t="s">
        <v>266</v>
      </c>
      <c r="Q244" s="31">
        <f>1948</f>
        <v>1948</v>
      </c>
      <c r="R244" s="32" t="s">
        <v>94</v>
      </c>
      <c r="S244" s="33">
        <f>1989.5</f>
        <v>1989.5</v>
      </c>
      <c r="T244" s="30">
        <f>228774</f>
        <v>228774</v>
      </c>
      <c r="U244" s="30">
        <f>78656</f>
        <v>78656</v>
      </c>
      <c r="V244" s="30">
        <f>458360827</f>
        <v>458360827</v>
      </c>
      <c r="W244" s="30">
        <f>158175954</f>
        <v>158175954</v>
      </c>
      <c r="X244" s="34">
        <f>20</f>
        <v>20</v>
      </c>
    </row>
    <row r="245" spans="1:24" x14ac:dyDescent="0.15">
      <c r="A245" s="25" t="s">
        <v>966</v>
      </c>
      <c r="B245" s="25" t="s">
        <v>769</v>
      </c>
      <c r="C245" s="25" t="s">
        <v>770</v>
      </c>
      <c r="D245" s="25" t="s">
        <v>771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1158</f>
        <v>1158</v>
      </c>
      <c r="L245" s="32" t="s">
        <v>904</v>
      </c>
      <c r="M245" s="31">
        <f>1194</f>
        <v>1194</v>
      </c>
      <c r="N245" s="32" t="s">
        <v>811</v>
      </c>
      <c r="O245" s="31">
        <f>1124</f>
        <v>1124</v>
      </c>
      <c r="P245" s="32" t="s">
        <v>908</v>
      </c>
      <c r="Q245" s="31">
        <f>1141</f>
        <v>1141</v>
      </c>
      <c r="R245" s="32" t="s">
        <v>94</v>
      </c>
      <c r="S245" s="33">
        <f>1152.9</f>
        <v>1152.9000000000001</v>
      </c>
      <c r="T245" s="30">
        <f>267125</f>
        <v>267125</v>
      </c>
      <c r="U245" s="30" t="str">
        <f>"－"</f>
        <v>－</v>
      </c>
      <c r="V245" s="30">
        <f>306080616</f>
        <v>306080616</v>
      </c>
      <c r="W245" s="30" t="str">
        <f>"－"</f>
        <v>－</v>
      </c>
      <c r="X245" s="34">
        <f>20</f>
        <v>20</v>
      </c>
    </row>
    <row r="246" spans="1:24" x14ac:dyDescent="0.15">
      <c r="A246" s="25" t="s">
        <v>966</v>
      </c>
      <c r="B246" s="25" t="s">
        <v>772</v>
      </c>
      <c r="C246" s="25" t="s">
        <v>773</v>
      </c>
      <c r="D246" s="25" t="s">
        <v>774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1138.5</f>
        <v>1138.5</v>
      </c>
      <c r="L246" s="32" t="s">
        <v>904</v>
      </c>
      <c r="M246" s="31">
        <f>1153</f>
        <v>1153</v>
      </c>
      <c r="N246" s="32" t="s">
        <v>811</v>
      </c>
      <c r="O246" s="31">
        <f>1102.5</f>
        <v>1102.5</v>
      </c>
      <c r="P246" s="32" t="s">
        <v>87</v>
      </c>
      <c r="Q246" s="31">
        <f>1116</f>
        <v>1116</v>
      </c>
      <c r="R246" s="32" t="s">
        <v>94</v>
      </c>
      <c r="S246" s="33">
        <f>1121.98</f>
        <v>1121.98</v>
      </c>
      <c r="T246" s="30">
        <f>15960</f>
        <v>15960</v>
      </c>
      <c r="U246" s="30" t="str">
        <f>"－"</f>
        <v>－</v>
      </c>
      <c r="V246" s="30">
        <f>17832035</f>
        <v>17832035</v>
      </c>
      <c r="W246" s="30" t="str">
        <f>"－"</f>
        <v>－</v>
      </c>
      <c r="X246" s="34">
        <f>20</f>
        <v>20</v>
      </c>
    </row>
    <row r="247" spans="1:24" x14ac:dyDescent="0.15">
      <c r="A247" s="25" t="s">
        <v>966</v>
      </c>
      <c r="B247" s="25" t="s">
        <v>775</v>
      </c>
      <c r="C247" s="25" t="s">
        <v>776</v>
      </c>
      <c r="D247" s="25" t="s">
        <v>777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242.9</f>
        <v>242.9</v>
      </c>
      <c r="L247" s="32" t="s">
        <v>904</v>
      </c>
      <c r="M247" s="31">
        <f>256.1</f>
        <v>256.10000000000002</v>
      </c>
      <c r="N247" s="32" t="s">
        <v>80</v>
      </c>
      <c r="O247" s="31">
        <f>227.5</f>
        <v>227.5</v>
      </c>
      <c r="P247" s="32" t="s">
        <v>266</v>
      </c>
      <c r="Q247" s="31">
        <f>235.5</f>
        <v>235.5</v>
      </c>
      <c r="R247" s="32" t="s">
        <v>94</v>
      </c>
      <c r="S247" s="33">
        <f>240.97</f>
        <v>240.97</v>
      </c>
      <c r="T247" s="30">
        <f>25740</f>
        <v>25740</v>
      </c>
      <c r="U247" s="30" t="str">
        <f>"－"</f>
        <v>－</v>
      </c>
      <c r="V247" s="30">
        <f>6148152</f>
        <v>6148152</v>
      </c>
      <c r="W247" s="30" t="str">
        <f>"－"</f>
        <v>－</v>
      </c>
      <c r="X247" s="34">
        <f>20</f>
        <v>20</v>
      </c>
    </row>
    <row r="248" spans="1:24" x14ac:dyDescent="0.15">
      <c r="A248" s="25" t="s">
        <v>966</v>
      </c>
      <c r="B248" s="25" t="s">
        <v>778</v>
      </c>
      <c r="C248" s="25" t="s">
        <v>779</v>
      </c>
      <c r="D248" s="25" t="s">
        <v>780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3124</f>
        <v>3124</v>
      </c>
      <c r="L248" s="32" t="s">
        <v>904</v>
      </c>
      <c r="M248" s="31">
        <f>3204</f>
        <v>3204</v>
      </c>
      <c r="N248" s="32" t="s">
        <v>810</v>
      </c>
      <c r="O248" s="31">
        <f>2843</f>
        <v>2843</v>
      </c>
      <c r="P248" s="32" t="s">
        <v>266</v>
      </c>
      <c r="Q248" s="31">
        <f>2954.5</f>
        <v>2954.5</v>
      </c>
      <c r="R248" s="32" t="s">
        <v>94</v>
      </c>
      <c r="S248" s="33">
        <f>3058.43</f>
        <v>3058.43</v>
      </c>
      <c r="T248" s="30">
        <f>3606620</f>
        <v>3606620</v>
      </c>
      <c r="U248" s="30">
        <f>1000</f>
        <v>1000</v>
      </c>
      <c r="V248" s="30">
        <f>10883170880</f>
        <v>10883170880</v>
      </c>
      <c r="W248" s="30">
        <f>3125600</f>
        <v>3125600</v>
      </c>
      <c r="X248" s="34">
        <f>20</f>
        <v>20</v>
      </c>
    </row>
    <row r="249" spans="1:24" x14ac:dyDescent="0.15">
      <c r="A249" s="25" t="s">
        <v>966</v>
      </c>
      <c r="B249" s="25" t="s">
        <v>781</v>
      </c>
      <c r="C249" s="25" t="s">
        <v>782</v>
      </c>
      <c r="D249" s="25" t="s">
        <v>783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2687.5</f>
        <v>2687.5</v>
      </c>
      <c r="L249" s="32" t="s">
        <v>904</v>
      </c>
      <c r="M249" s="31">
        <f>2730.5</f>
        <v>2730.5</v>
      </c>
      <c r="N249" s="32" t="s">
        <v>810</v>
      </c>
      <c r="O249" s="31">
        <f>2318.5</f>
        <v>2318.5</v>
      </c>
      <c r="P249" s="32" t="s">
        <v>266</v>
      </c>
      <c r="Q249" s="31">
        <f>2360.5</f>
        <v>2360.5</v>
      </c>
      <c r="R249" s="32" t="s">
        <v>94</v>
      </c>
      <c r="S249" s="33">
        <f>2538.85</f>
        <v>2538.85</v>
      </c>
      <c r="T249" s="30">
        <f>9279390</f>
        <v>9279390</v>
      </c>
      <c r="U249" s="30">
        <f>3259370</f>
        <v>3259370</v>
      </c>
      <c r="V249" s="30">
        <f>23201871986</f>
        <v>23201871986</v>
      </c>
      <c r="W249" s="30">
        <f>8371887261</f>
        <v>8371887261</v>
      </c>
      <c r="X249" s="34">
        <f>20</f>
        <v>20</v>
      </c>
    </row>
    <row r="250" spans="1:24" x14ac:dyDescent="0.15">
      <c r="A250" s="25" t="s">
        <v>966</v>
      </c>
      <c r="B250" s="25" t="s">
        <v>784</v>
      </c>
      <c r="C250" s="25" t="s">
        <v>785</v>
      </c>
      <c r="D250" s="25" t="s">
        <v>786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2778</f>
        <v>2778</v>
      </c>
      <c r="L250" s="32" t="s">
        <v>904</v>
      </c>
      <c r="M250" s="31">
        <f>2943</f>
        <v>2943</v>
      </c>
      <c r="N250" s="32" t="s">
        <v>94</v>
      </c>
      <c r="O250" s="31">
        <f>2764</f>
        <v>2764</v>
      </c>
      <c r="P250" s="32" t="s">
        <v>904</v>
      </c>
      <c r="Q250" s="31">
        <f>2939</f>
        <v>2939</v>
      </c>
      <c r="R250" s="32" t="s">
        <v>94</v>
      </c>
      <c r="S250" s="33">
        <f>2850.85</f>
        <v>2850.85</v>
      </c>
      <c r="T250" s="30">
        <f>4146560</f>
        <v>4146560</v>
      </c>
      <c r="U250" s="30">
        <f>2653630</f>
        <v>2653630</v>
      </c>
      <c r="V250" s="30">
        <f>11733320412</f>
        <v>11733320412</v>
      </c>
      <c r="W250" s="30">
        <f>7505240947</f>
        <v>7505240947</v>
      </c>
      <c r="X250" s="34">
        <f>20</f>
        <v>20</v>
      </c>
    </row>
    <row r="251" spans="1:24" x14ac:dyDescent="0.15">
      <c r="A251" s="25" t="s">
        <v>966</v>
      </c>
      <c r="B251" s="25" t="s">
        <v>787</v>
      </c>
      <c r="C251" s="25" t="s">
        <v>788</v>
      </c>
      <c r="D251" s="25" t="s">
        <v>789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2020</f>
        <v>2020</v>
      </c>
      <c r="L251" s="32" t="s">
        <v>904</v>
      </c>
      <c r="M251" s="31">
        <f>2020</f>
        <v>2020</v>
      </c>
      <c r="N251" s="32" t="s">
        <v>904</v>
      </c>
      <c r="O251" s="31">
        <f>1772</f>
        <v>1772</v>
      </c>
      <c r="P251" s="32" t="s">
        <v>87</v>
      </c>
      <c r="Q251" s="31">
        <f>1807</f>
        <v>1807</v>
      </c>
      <c r="R251" s="32" t="s">
        <v>94</v>
      </c>
      <c r="S251" s="33">
        <f>1861.35</f>
        <v>1861.35</v>
      </c>
      <c r="T251" s="30">
        <f>2128357</f>
        <v>2128357</v>
      </c>
      <c r="U251" s="30">
        <f>22</f>
        <v>22</v>
      </c>
      <c r="V251" s="30">
        <f>3933524383</f>
        <v>3933524383</v>
      </c>
      <c r="W251" s="30">
        <f>40793</f>
        <v>40793</v>
      </c>
      <c r="X251" s="34">
        <f>20</f>
        <v>20</v>
      </c>
    </row>
    <row r="252" spans="1:24" x14ac:dyDescent="0.15">
      <c r="A252" s="25" t="s">
        <v>966</v>
      </c>
      <c r="B252" s="25" t="s">
        <v>790</v>
      </c>
      <c r="C252" s="25" t="s">
        <v>791</v>
      </c>
      <c r="D252" s="25" t="s">
        <v>792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2216</f>
        <v>2216</v>
      </c>
      <c r="L252" s="32" t="s">
        <v>904</v>
      </c>
      <c r="M252" s="31">
        <f>2234</f>
        <v>2234</v>
      </c>
      <c r="N252" s="32" t="s">
        <v>810</v>
      </c>
      <c r="O252" s="31">
        <f>2044</f>
        <v>2044</v>
      </c>
      <c r="P252" s="32" t="s">
        <v>815</v>
      </c>
      <c r="Q252" s="31">
        <f>2055</f>
        <v>2055</v>
      </c>
      <c r="R252" s="32" t="s">
        <v>94</v>
      </c>
      <c r="S252" s="33">
        <f>2112.05</f>
        <v>2112.0500000000002</v>
      </c>
      <c r="T252" s="30">
        <f>53830</f>
        <v>53830</v>
      </c>
      <c r="U252" s="30" t="str">
        <f>"－"</f>
        <v>－</v>
      </c>
      <c r="V252" s="30">
        <f>113715183</f>
        <v>113715183</v>
      </c>
      <c r="W252" s="30" t="str">
        <f>"－"</f>
        <v>－</v>
      </c>
      <c r="X252" s="34">
        <f>20</f>
        <v>20</v>
      </c>
    </row>
    <row r="253" spans="1:24" x14ac:dyDescent="0.15">
      <c r="A253" s="25" t="s">
        <v>966</v>
      </c>
      <c r="B253" s="25" t="s">
        <v>793</v>
      </c>
      <c r="C253" s="25" t="s">
        <v>794</v>
      </c>
      <c r="D253" s="25" t="s">
        <v>795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2369</f>
        <v>2369</v>
      </c>
      <c r="L253" s="32" t="s">
        <v>811</v>
      </c>
      <c r="M253" s="31">
        <f>2376</f>
        <v>2376</v>
      </c>
      <c r="N253" s="32" t="s">
        <v>810</v>
      </c>
      <c r="O253" s="31">
        <f>2283</f>
        <v>2283</v>
      </c>
      <c r="P253" s="32" t="s">
        <v>94</v>
      </c>
      <c r="Q253" s="31">
        <f>2296</f>
        <v>2296</v>
      </c>
      <c r="R253" s="32" t="s">
        <v>94</v>
      </c>
      <c r="S253" s="33">
        <f>2330.79</f>
        <v>2330.79</v>
      </c>
      <c r="T253" s="30">
        <f>2182</f>
        <v>2182</v>
      </c>
      <c r="U253" s="30" t="str">
        <f>"－"</f>
        <v>－</v>
      </c>
      <c r="V253" s="30">
        <f>5041881</f>
        <v>5041881</v>
      </c>
      <c r="W253" s="30" t="str">
        <f>"－"</f>
        <v>－</v>
      </c>
      <c r="X253" s="34">
        <f>19</f>
        <v>19</v>
      </c>
    </row>
    <row r="254" spans="1:24" x14ac:dyDescent="0.15">
      <c r="A254" s="25" t="s">
        <v>966</v>
      </c>
      <c r="B254" s="25" t="s">
        <v>796</v>
      </c>
      <c r="C254" s="25" t="s">
        <v>797</v>
      </c>
      <c r="D254" s="25" t="s">
        <v>798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2785</f>
        <v>2785</v>
      </c>
      <c r="L254" s="32" t="s">
        <v>904</v>
      </c>
      <c r="M254" s="31">
        <f>2820</f>
        <v>2820</v>
      </c>
      <c r="N254" s="32" t="s">
        <v>810</v>
      </c>
      <c r="O254" s="31">
        <f>2615</f>
        <v>2615</v>
      </c>
      <c r="P254" s="32" t="s">
        <v>266</v>
      </c>
      <c r="Q254" s="31">
        <f>2691</f>
        <v>2691</v>
      </c>
      <c r="R254" s="32" t="s">
        <v>94</v>
      </c>
      <c r="S254" s="33">
        <f>2715.25</f>
        <v>2715.25</v>
      </c>
      <c r="T254" s="30">
        <f>995295</f>
        <v>995295</v>
      </c>
      <c r="U254" s="30">
        <f>170000</f>
        <v>170000</v>
      </c>
      <c r="V254" s="30">
        <f>2688590190</f>
        <v>2688590190</v>
      </c>
      <c r="W254" s="30">
        <f>456892000</f>
        <v>456892000</v>
      </c>
      <c r="X254" s="34">
        <f>20</f>
        <v>20</v>
      </c>
    </row>
    <row r="255" spans="1:24" x14ac:dyDescent="0.15">
      <c r="A255" s="25" t="s">
        <v>966</v>
      </c>
      <c r="B255" s="25" t="s">
        <v>799</v>
      </c>
      <c r="C255" s="25" t="s">
        <v>800</v>
      </c>
      <c r="D255" s="25" t="s">
        <v>801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1955</f>
        <v>1955</v>
      </c>
      <c r="L255" s="32" t="s">
        <v>904</v>
      </c>
      <c r="M255" s="31">
        <f>1994</f>
        <v>1994</v>
      </c>
      <c r="N255" s="32" t="s">
        <v>810</v>
      </c>
      <c r="O255" s="31">
        <f>1845</f>
        <v>1845</v>
      </c>
      <c r="P255" s="32" t="s">
        <v>266</v>
      </c>
      <c r="Q255" s="31">
        <f>1900</f>
        <v>1900</v>
      </c>
      <c r="R255" s="32" t="s">
        <v>94</v>
      </c>
      <c r="S255" s="33">
        <f>1907.9</f>
        <v>1907.9</v>
      </c>
      <c r="T255" s="30">
        <f>237079</f>
        <v>237079</v>
      </c>
      <c r="U255" s="30">
        <f>50000</f>
        <v>50000</v>
      </c>
      <c r="V255" s="30">
        <f>450759262</f>
        <v>450759262</v>
      </c>
      <c r="W255" s="30">
        <f>97275000</f>
        <v>97275000</v>
      </c>
      <c r="X255" s="34">
        <f>20</f>
        <v>20</v>
      </c>
    </row>
    <row r="256" spans="1:24" x14ac:dyDescent="0.15">
      <c r="A256" s="25" t="s">
        <v>966</v>
      </c>
      <c r="B256" s="25" t="s">
        <v>802</v>
      </c>
      <c r="C256" s="25" t="s">
        <v>803</v>
      </c>
      <c r="D256" s="25" t="s">
        <v>804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1976</f>
        <v>1976</v>
      </c>
      <c r="L256" s="32" t="s">
        <v>904</v>
      </c>
      <c r="M256" s="31">
        <f>2047</f>
        <v>2047</v>
      </c>
      <c r="N256" s="32" t="s">
        <v>810</v>
      </c>
      <c r="O256" s="31">
        <f>1899</f>
        <v>1899</v>
      </c>
      <c r="P256" s="32" t="s">
        <v>815</v>
      </c>
      <c r="Q256" s="31">
        <f>1944</f>
        <v>1944</v>
      </c>
      <c r="R256" s="32" t="s">
        <v>94</v>
      </c>
      <c r="S256" s="33">
        <f>1972.45</f>
        <v>1972.45</v>
      </c>
      <c r="T256" s="30">
        <f>53582</f>
        <v>53582</v>
      </c>
      <c r="U256" s="30" t="str">
        <f>"－"</f>
        <v>－</v>
      </c>
      <c r="V256" s="30">
        <f>104625106</f>
        <v>104625106</v>
      </c>
      <c r="W256" s="30" t="str">
        <f>"－"</f>
        <v>－</v>
      </c>
      <c r="X256" s="34">
        <f>20</f>
        <v>20</v>
      </c>
    </row>
    <row r="257" spans="1:24" x14ac:dyDescent="0.15">
      <c r="A257" s="25" t="s">
        <v>966</v>
      </c>
      <c r="B257" s="25" t="s">
        <v>805</v>
      </c>
      <c r="C257" s="25" t="s">
        <v>806</v>
      </c>
      <c r="D257" s="25" t="s">
        <v>807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1769</f>
        <v>1769</v>
      </c>
      <c r="L257" s="32" t="s">
        <v>904</v>
      </c>
      <c r="M257" s="31">
        <f>1848</f>
        <v>1848</v>
      </c>
      <c r="N257" s="32" t="s">
        <v>810</v>
      </c>
      <c r="O257" s="31">
        <f>1608</f>
        <v>1608</v>
      </c>
      <c r="P257" s="32" t="s">
        <v>94</v>
      </c>
      <c r="Q257" s="31">
        <f>1623</f>
        <v>1623</v>
      </c>
      <c r="R257" s="32" t="s">
        <v>94</v>
      </c>
      <c r="S257" s="33">
        <f>1711.05</f>
        <v>1711.05</v>
      </c>
      <c r="T257" s="30">
        <f>101377</f>
        <v>101377</v>
      </c>
      <c r="U257" s="30" t="str">
        <f>"－"</f>
        <v>－</v>
      </c>
      <c r="V257" s="30">
        <f>164587932</f>
        <v>164587932</v>
      </c>
      <c r="W257" s="30" t="str">
        <f>"－"</f>
        <v>－</v>
      </c>
      <c r="X257" s="34">
        <f>20</f>
        <v>20</v>
      </c>
    </row>
    <row r="258" spans="1:24" x14ac:dyDescent="0.15">
      <c r="A258" s="25" t="s">
        <v>966</v>
      </c>
      <c r="B258" s="25" t="s">
        <v>824</v>
      </c>
      <c r="C258" s="25" t="s">
        <v>825</v>
      </c>
      <c r="D258" s="25" t="s">
        <v>826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2158</f>
        <v>2158</v>
      </c>
      <c r="L258" s="32" t="s">
        <v>904</v>
      </c>
      <c r="M258" s="31">
        <f>2180</f>
        <v>2180</v>
      </c>
      <c r="N258" s="32" t="s">
        <v>80</v>
      </c>
      <c r="O258" s="31">
        <f>1789</f>
        <v>1789</v>
      </c>
      <c r="P258" s="32" t="s">
        <v>266</v>
      </c>
      <c r="Q258" s="31">
        <f>1816</f>
        <v>1816</v>
      </c>
      <c r="R258" s="32" t="s">
        <v>94</v>
      </c>
      <c r="S258" s="33">
        <f>1996.3</f>
        <v>1996.3</v>
      </c>
      <c r="T258" s="30">
        <f>24631</f>
        <v>24631</v>
      </c>
      <c r="U258" s="30" t="str">
        <f>"－"</f>
        <v>－</v>
      </c>
      <c r="V258" s="30">
        <f>48752343</f>
        <v>48752343</v>
      </c>
      <c r="W258" s="30" t="str">
        <f>"－"</f>
        <v>－</v>
      </c>
      <c r="X258" s="34">
        <f>20</f>
        <v>20</v>
      </c>
    </row>
    <row r="259" spans="1:24" x14ac:dyDescent="0.15">
      <c r="A259" s="25" t="s">
        <v>966</v>
      </c>
      <c r="B259" s="25" t="s">
        <v>827</v>
      </c>
      <c r="C259" s="25" t="s">
        <v>828</v>
      </c>
      <c r="D259" s="25" t="s">
        <v>829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2506</f>
        <v>2506</v>
      </c>
      <c r="L259" s="32" t="s">
        <v>904</v>
      </c>
      <c r="M259" s="31">
        <f>2543</f>
        <v>2543</v>
      </c>
      <c r="N259" s="32" t="s">
        <v>80</v>
      </c>
      <c r="O259" s="31">
        <f>2231</f>
        <v>2231</v>
      </c>
      <c r="P259" s="32" t="s">
        <v>266</v>
      </c>
      <c r="Q259" s="31">
        <f>2318</f>
        <v>2318</v>
      </c>
      <c r="R259" s="32" t="s">
        <v>94</v>
      </c>
      <c r="S259" s="33">
        <f>2446.21</f>
        <v>2446.21</v>
      </c>
      <c r="T259" s="30">
        <f>3658</f>
        <v>3658</v>
      </c>
      <c r="U259" s="30" t="str">
        <f>"－"</f>
        <v>－</v>
      </c>
      <c r="V259" s="30">
        <f>8748418</f>
        <v>8748418</v>
      </c>
      <c r="W259" s="30" t="str">
        <f>"－"</f>
        <v>－</v>
      </c>
      <c r="X259" s="34">
        <f>19</f>
        <v>19</v>
      </c>
    </row>
    <row r="260" spans="1:24" x14ac:dyDescent="0.15">
      <c r="A260" s="25" t="s">
        <v>966</v>
      </c>
      <c r="B260" s="25" t="s">
        <v>830</v>
      </c>
      <c r="C260" s="25" t="s">
        <v>831</v>
      </c>
      <c r="D260" s="25" t="s">
        <v>832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11800</f>
        <v>11800</v>
      </c>
      <c r="L260" s="32" t="s">
        <v>904</v>
      </c>
      <c r="M260" s="31">
        <f>11950</f>
        <v>11950</v>
      </c>
      <c r="N260" s="32" t="s">
        <v>811</v>
      </c>
      <c r="O260" s="31">
        <f>10765</f>
        <v>10765</v>
      </c>
      <c r="P260" s="32" t="s">
        <v>266</v>
      </c>
      <c r="Q260" s="31">
        <f>10880</f>
        <v>10880</v>
      </c>
      <c r="R260" s="32" t="s">
        <v>94</v>
      </c>
      <c r="S260" s="33">
        <f>11451.25</f>
        <v>11451.25</v>
      </c>
      <c r="T260" s="30">
        <f>379345</f>
        <v>379345</v>
      </c>
      <c r="U260" s="30">
        <f>106246</f>
        <v>106246</v>
      </c>
      <c r="V260" s="30">
        <f>4287672230</f>
        <v>4287672230</v>
      </c>
      <c r="W260" s="30">
        <f>1193077100</f>
        <v>1193077100</v>
      </c>
      <c r="X260" s="34">
        <f>20</f>
        <v>20</v>
      </c>
    </row>
    <row r="261" spans="1:24" x14ac:dyDescent="0.15">
      <c r="A261" s="25" t="s">
        <v>966</v>
      </c>
      <c r="B261" s="25" t="s">
        <v>833</v>
      </c>
      <c r="C261" s="25" t="s">
        <v>834</v>
      </c>
      <c r="D261" s="25" t="s">
        <v>835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13045</f>
        <v>13045</v>
      </c>
      <c r="L261" s="32" t="s">
        <v>904</v>
      </c>
      <c r="M261" s="31">
        <f>13380</f>
        <v>13380</v>
      </c>
      <c r="N261" s="32" t="s">
        <v>810</v>
      </c>
      <c r="O261" s="31">
        <f>11875</f>
        <v>11875</v>
      </c>
      <c r="P261" s="32" t="s">
        <v>266</v>
      </c>
      <c r="Q261" s="31">
        <f>12340</f>
        <v>12340</v>
      </c>
      <c r="R261" s="32" t="s">
        <v>94</v>
      </c>
      <c r="S261" s="33">
        <f>12780.5</f>
        <v>12780.5</v>
      </c>
      <c r="T261" s="30">
        <f>982962</f>
        <v>982962</v>
      </c>
      <c r="U261" s="30">
        <f>1</f>
        <v>1</v>
      </c>
      <c r="V261" s="30">
        <f>12514463450</f>
        <v>12514463450</v>
      </c>
      <c r="W261" s="30">
        <f>12990</f>
        <v>12990</v>
      </c>
      <c r="X261" s="34">
        <f>20</f>
        <v>20</v>
      </c>
    </row>
    <row r="262" spans="1:24" x14ac:dyDescent="0.15">
      <c r="A262" s="25" t="s">
        <v>966</v>
      </c>
      <c r="B262" s="25" t="s">
        <v>836</v>
      </c>
      <c r="C262" s="25" t="s">
        <v>837</v>
      </c>
      <c r="D262" s="25" t="s">
        <v>838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11290</f>
        <v>11290</v>
      </c>
      <c r="L262" s="32" t="s">
        <v>904</v>
      </c>
      <c r="M262" s="31">
        <f>11555</f>
        <v>11555</v>
      </c>
      <c r="N262" s="32" t="s">
        <v>810</v>
      </c>
      <c r="O262" s="31">
        <f>9727</f>
        <v>9727</v>
      </c>
      <c r="P262" s="32" t="s">
        <v>266</v>
      </c>
      <c r="Q262" s="31">
        <f>9892</f>
        <v>9892</v>
      </c>
      <c r="R262" s="32" t="s">
        <v>94</v>
      </c>
      <c r="S262" s="33">
        <f>10642</f>
        <v>10642</v>
      </c>
      <c r="T262" s="30">
        <f>733800</f>
        <v>733800</v>
      </c>
      <c r="U262" s="30">
        <f>45004</f>
        <v>45004</v>
      </c>
      <c r="V262" s="30">
        <f>7574724992</f>
        <v>7574724992</v>
      </c>
      <c r="W262" s="30">
        <f>495391312</f>
        <v>495391312</v>
      </c>
      <c r="X262" s="34">
        <f>20</f>
        <v>20</v>
      </c>
    </row>
    <row r="263" spans="1:24" x14ac:dyDescent="0.15">
      <c r="A263" s="25" t="s">
        <v>966</v>
      </c>
      <c r="B263" s="25" t="s">
        <v>839</v>
      </c>
      <c r="C263" s="25" t="s">
        <v>840</v>
      </c>
      <c r="D263" s="25" t="s">
        <v>841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2566</f>
        <v>2566</v>
      </c>
      <c r="L263" s="32" t="s">
        <v>904</v>
      </c>
      <c r="M263" s="31">
        <f>2668.5</f>
        <v>2668.5</v>
      </c>
      <c r="N263" s="32" t="s">
        <v>66</v>
      </c>
      <c r="O263" s="31">
        <f>2461</f>
        <v>2461</v>
      </c>
      <c r="P263" s="32" t="s">
        <v>266</v>
      </c>
      <c r="Q263" s="31">
        <f>2541.5</f>
        <v>2541.5</v>
      </c>
      <c r="R263" s="32" t="s">
        <v>94</v>
      </c>
      <c r="S263" s="33">
        <f>2578.4</f>
        <v>2578.4</v>
      </c>
      <c r="T263" s="30">
        <f>1977560</f>
        <v>1977560</v>
      </c>
      <c r="U263" s="30">
        <f>20</f>
        <v>20</v>
      </c>
      <c r="V263" s="30">
        <f>5103899470</f>
        <v>5103899470</v>
      </c>
      <c r="W263" s="30">
        <f>51560</f>
        <v>51560</v>
      </c>
      <c r="X263" s="34">
        <f>20</f>
        <v>20</v>
      </c>
    </row>
    <row r="264" spans="1:24" x14ac:dyDescent="0.15">
      <c r="A264" s="25" t="s">
        <v>966</v>
      </c>
      <c r="B264" s="25" t="s">
        <v>842</v>
      </c>
      <c r="C264" s="25" t="s">
        <v>843</v>
      </c>
      <c r="D264" s="25" t="s">
        <v>844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2301</f>
        <v>2301</v>
      </c>
      <c r="L264" s="32" t="s">
        <v>904</v>
      </c>
      <c r="M264" s="31">
        <f>2319</f>
        <v>2319</v>
      </c>
      <c r="N264" s="32" t="s">
        <v>810</v>
      </c>
      <c r="O264" s="31">
        <f>2104</f>
        <v>2104</v>
      </c>
      <c r="P264" s="32" t="s">
        <v>266</v>
      </c>
      <c r="Q264" s="31">
        <f>2128.5</f>
        <v>2128.5</v>
      </c>
      <c r="R264" s="32" t="s">
        <v>94</v>
      </c>
      <c r="S264" s="33">
        <f>2234.33</f>
        <v>2234.33</v>
      </c>
      <c r="T264" s="30">
        <f>4271000</f>
        <v>4271000</v>
      </c>
      <c r="U264" s="30">
        <f>798150</f>
        <v>798150</v>
      </c>
      <c r="V264" s="30">
        <f>9547972988</f>
        <v>9547972988</v>
      </c>
      <c r="W264" s="30">
        <f>1798982803</f>
        <v>1798982803</v>
      </c>
      <c r="X264" s="34">
        <f>20</f>
        <v>20</v>
      </c>
    </row>
    <row r="265" spans="1:24" x14ac:dyDescent="0.15">
      <c r="A265" s="25" t="s">
        <v>966</v>
      </c>
      <c r="B265" s="25" t="s">
        <v>845</v>
      </c>
      <c r="C265" s="25" t="s">
        <v>846</v>
      </c>
      <c r="D265" s="25" t="s">
        <v>847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2638.5</f>
        <v>2638.5</v>
      </c>
      <c r="L265" s="32" t="s">
        <v>904</v>
      </c>
      <c r="M265" s="31">
        <f>2735.5</f>
        <v>2735.5</v>
      </c>
      <c r="N265" s="32" t="s">
        <v>66</v>
      </c>
      <c r="O265" s="31">
        <f>2523.5</f>
        <v>2523.5</v>
      </c>
      <c r="P265" s="32" t="s">
        <v>266</v>
      </c>
      <c r="Q265" s="31">
        <f>2605.5</f>
        <v>2605.5</v>
      </c>
      <c r="R265" s="32" t="s">
        <v>94</v>
      </c>
      <c r="S265" s="33">
        <f>2645.08</f>
        <v>2645.08</v>
      </c>
      <c r="T265" s="30">
        <f>431660</f>
        <v>431660</v>
      </c>
      <c r="U265" s="30">
        <f>180000</f>
        <v>180000</v>
      </c>
      <c r="V265" s="30">
        <f>1140156435</f>
        <v>1140156435</v>
      </c>
      <c r="W265" s="30">
        <f>482994000</f>
        <v>482994000</v>
      </c>
      <c r="X265" s="34">
        <f>20</f>
        <v>20</v>
      </c>
    </row>
    <row r="266" spans="1:24" x14ac:dyDescent="0.15">
      <c r="A266" s="25" t="s">
        <v>966</v>
      </c>
      <c r="B266" s="25" t="s">
        <v>848</v>
      </c>
      <c r="C266" s="25" t="s">
        <v>849</v>
      </c>
      <c r="D266" s="25" t="s">
        <v>850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2600</f>
        <v>2600</v>
      </c>
      <c r="L266" s="32" t="s">
        <v>904</v>
      </c>
      <c r="M266" s="31">
        <f>2626</f>
        <v>2626</v>
      </c>
      <c r="N266" s="32" t="s">
        <v>810</v>
      </c>
      <c r="O266" s="31">
        <f>2424</f>
        <v>2424</v>
      </c>
      <c r="P266" s="32" t="s">
        <v>266</v>
      </c>
      <c r="Q266" s="31">
        <f>2469</f>
        <v>2469</v>
      </c>
      <c r="R266" s="32" t="s">
        <v>94</v>
      </c>
      <c r="S266" s="33">
        <f>2530.21</f>
        <v>2530.21</v>
      </c>
      <c r="T266" s="30">
        <f>18848</f>
        <v>18848</v>
      </c>
      <c r="U266" s="30" t="str">
        <f t="shared" ref="U266:U276" si="11">"－"</f>
        <v>－</v>
      </c>
      <c r="V266" s="30">
        <f>48768541</f>
        <v>48768541</v>
      </c>
      <c r="W266" s="30" t="str">
        <f t="shared" ref="W266:W276" si="12">"－"</f>
        <v>－</v>
      </c>
      <c r="X266" s="34">
        <f>19</f>
        <v>19</v>
      </c>
    </row>
    <row r="267" spans="1:24" x14ac:dyDescent="0.15">
      <c r="A267" s="25" t="s">
        <v>966</v>
      </c>
      <c r="B267" s="25" t="s">
        <v>851</v>
      </c>
      <c r="C267" s="25" t="s">
        <v>852</v>
      </c>
      <c r="D267" s="25" t="s">
        <v>853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1569</f>
        <v>1569</v>
      </c>
      <c r="L267" s="32" t="s">
        <v>904</v>
      </c>
      <c r="M267" s="31">
        <f>1596</f>
        <v>1596</v>
      </c>
      <c r="N267" s="32" t="s">
        <v>810</v>
      </c>
      <c r="O267" s="31">
        <f>1425</f>
        <v>1425</v>
      </c>
      <c r="P267" s="32" t="s">
        <v>266</v>
      </c>
      <c r="Q267" s="31">
        <f>1488</f>
        <v>1488</v>
      </c>
      <c r="R267" s="32" t="s">
        <v>94</v>
      </c>
      <c r="S267" s="33">
        <f>1492.65</f>
        <v>1492.65</v>
      </c>
      <c r="T267" s="30">
        <f>37561</f>
        <v>37561</v>
      </c>
      <c r="U267" s="30" t="str">
        <f t="shared" si="11"/>
        <v>－</v>
      </c>
      <c r="V267" s="30">
        <f>57582420</f>
        <v>57582420</v>
      </c>
      <c r="W267" s="30" t="str">
        <f t="shared" si="12"/>
        <v>－</v>
      </c>
      <c r="X267" s="34">
        <f>20</f>
        <v>20</v>
      </c>
    </row>
    <row r="268" spans="1:24" x14ac:dyDescent="0.15">
      <c r="A268" s="25" t="s">
        <v>966</v>
      </c>
      <c r="B268" s="25" t="s">
        <v>854</v>
      </c>
      <c r="C268" s="25" t="s">
        <v>855</v>
      </c>
      <c r="D268" s="25" t="s">
        <v>856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1967</f>
        <v>1967</v>
      </c>
      <c r="L268" s="32" t="s">
        <v>904</v>
      </c>
      <c r="M268" s="31">
        <f>2046</f>
        <v>2046</v>
      </c>
      <c r="N268" s="32" t="s">
        <v>810</v>
      </c>
      <c r="O268" s="31">
        <f>1813</f>
        <v>1813</v>
      </c>
      <c r="P268" s="32" t="s">
        <v>266</v>
      </c>
      <c r="Q268" s="31">
        <f>1894</f>
        <v>1894</v>
      </c>
      <c r="R268" s="32" t="s">
        <v>94</v>
      </c>
      <c r="S268" s="33">
        <f>1924.7</f>
        <v>1924.7</v>
      </c>
      <c r="T268" s="30">
        <f>64011</f>
        <v>64011</v>
      </c>
      <c r="U268" s="30" t="str">
        <f t="shared" si="11"/>
        <v>－</v>
      </c>
      <c r="V268" s="30">
        <f>125959358</f>
        <v>125959358</v>
      </c>
      <c r="W268" s="30" t="str">
        <f t="shared" si="12"/>
        <v>－</v>
      </c>
      <c r="X268" s="34">
        <f>20</f>
        <v>20</v>
      </c>
    </row>
    <row r="269" spans="1:24" x14ac:dyDescent="0.15">
      <c r="A269" s="25" t="s">
        <v>966</v>
      </c>
      <c r="B269" s="25" t="s">
        <v>857</v>
      </c>
      <c r="C269" s="25" t="s">
        <v>858</v>
      </c>
      <c r="D269" s="25" t="s">
        <v>859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1583</f>
        <v>1583</v>
      </c>
      <c r="L269" s="32" t="s">
        <v>904</v>
      </c>
      <c r="M269" s="31">
        <f>1644</f>
        <v>1644</v>
      </c>
      <c r="N269" s="32" t="s">
        <v>810</v>
      </c>
      <c r="O269" s="31">
        <f>1568</f>
        <v>1568</v>
      </c>
      <c r="P269" s="32" t="s">
        <v>266</v>
      </c>
      <c r="Q269" s="31">
        <f>1606</f>
        <v>1606</v>
      </c>
      <c r="R269" s="32" t="s">
        <v>94</v>
      </c>
      <c r="S269" s="33">
        <f>1614.8</f>
        <v>1614.8</v>
      </c>
      <c r="T269" s="30">
        <f>8941</f>
        <v>8941</v>
      </c>
      <c r="U269" s="30" t="str">
        <f t="shared" si="11"/>
        <v>－</v>
      </c>
      <c r="V269" s="30">
        <f>14497335</f>
        <v>14497335</v>
      </c>
      <c r="W269" s="30" t="str">
        <f t="shared" si="12"/>
        <v>－</v>
      </c>
      <c r="X269" s="34">
        <f>20</f>
        <v>20</v>
      </c>
    </row>
    <row r="270" spans="1:24" x14ac:dyDescent="0.15">
      <c r="A270" s="25" t="s">
        <v>966</v>
      </c>
      <c r="B270" s="25" t="s">
        <v>860</v>
      </c>
      <c r="C270" s="25" t="s">
        <v>861</v>
      </c>
      <c r="D270" s="25" t="s">
        <v>862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2640</f>
        <v>2640</v>
      </c>
      <c r="L270" s="32" t="s">
        <v>904</v>
      </c>
      <c r="M270" s="31">
        <f>2730</f>
        <v>2730</v>
      </c>
      <c r="N270" s="32" t="s">
        <v>810</v>
      </c>
      <c r="O270" s="31">
        <f>2537</f>
        <v>2537</v>
      </c>
      <c r="P270" s="32" t="s">
        <v>815</v>
      </c>
      <c r="Q270" s="31">
        <f>2611</f>
        <v>2611</v>
      </c>
      <c r="R270" s="32" t="s">
        <v>94</v>
      </c>
      <c r="S270" s="33">
        <f>2646.3</f>
        <v>2646.3</v>
      </c>
      <c r="T270" s="30">
        <f>64526</f>
        <v>64526</v>
      </c>
      <c r="U270" s="30" t="str">
        <f t="shared" si="11"/>
        <v>－</v>
      </c>
      <c r="V270" s="30">
        <f>171762855</f>
        <v>171762855</v>
      </c>
      <c r="W270" s="30" t="str">
        <f t="shared" si="12"/>
        <v>－</v>
      </c>
      <c r="X270" s="34">
        <f>20</f>
        <v>20</v>
      </c>
    </row>
    <row r="271" spans="1:24" x14ac:dyDescent="0.15">
      <c r="A271" s="25" t="s">
        <v>966</v>
      </c>
      <c r="B271" s="25" t="s">
        <v>863</v>
      </c>
      <c r="C271" s="25" t="s">
        <v>864</v>
      </c>
      <c r="D271" s="25" t="s">
        <v>865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2078</f>
        <v>2078</v>
      </c>
      <c r="L271" s="32" t="s">
        <v>904</v>
      </c>
      <c r="M271" s="31">
        <f>2107</f>
        <v>2107</v>
      </c>
      <c r="N271" s="32" t="s">
        <v>810</v>
      </c>
      <c r="O271" s="31">
        <f>1968</f>
        <v>1968</v>
      </c>
      <c r="P271" s="32" t="s">
        <v>266</v>
      </c>
      <c r="Q271" s="31">
        <f>2025</f>
        <v>2025</v>
      </c>
      <c r="R271" s="32" t="s">
        <v>94</v>
      </c>
      <c r="S271" s="33">
        <f>2038.65</f>
        <v>2038.65</v>
      </c>
      <c r="T271" s="30">
        <f>55219</f>
        <v>55219</v>
      </c>
      <c r="U271" s="30" t="str">
        <f t="shared" si="11"/>
        <v>－</v>
      </c>
      <c r="V271" s="30">
        <f>113377818</f>
        <v>113377818</v>
      </c>
      <c r="W271" s="30" t="str">
        <f t="shared" si="12"/>
        <v>－</v>
      </c>
      <c r="X271" s="34">
        <f>20</f>
        <v>20</v>
      </c>
    </row>
    <row r="272" spans="1:24" x14ac:dyDescent="0.15">
      <c r="A272" s="25" t="s">
        <v>966</v>
      </c>
      <c r="B272" s="25" t="s">
        <v>866</v>
      </c>
      <c r="C272" s="25" t="s">
        <v>867</v>
      </c>
      <c r="D272" s="25" t="s">
        <v>868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26055</f>
        <v>26055</v>
      </c>
      <c r="L272" s="32" t="s">
        <v>811</v>
      </c>
      <c r="M272" s="31">
        <f>26055</f>
        <v>26055</v>
      </c>
      <c r="N272" s="32" t="s">
        <v>811</v>
      </c>
      <c r="O272" s="31">
        <f>24870</f>
        <v>24870</v>
      </c>
      <c r="P272" s="32" t="s">
        <v>266</v>
      </c>
      <c r="Q272" s="31">
        <f>25260</f>
        <v>25260</v>
      </c>
      <c r="R272" s="32" t="s">
        <v>94</v>
      </c>
      <c r="S272" s="33">
        <f>25330.88</f>
        <v>25330.880000000001</v>
      </c>
      <c r="T272" s="30">
        <f>45</f>
        <v>45</v>
      </c>
      <c r="U272" s="30" t="str">
        <f t="shared" si="11"/>
        <v>－</v>
      </c>
      <c r="V272" s="30">
        <f>1140735</f>
        <v>1140735</v>
      </c>
      <c r="W272" s="30" t="str">
        <f t="shared" si="12"/>
        <v>－</v>
      </c>
      <c r="X272" s="34">
        <f>17</f>
        <v>17</v>
      </c>
    </row>
    <row r="273" spans="1:24" x14ac:dyDescent="0.15">
      <c r="A273" s="25" t="s">
        <v>966</v>
      </c>
      <c r="B273" s="25" t="s">
        <v>869</v>
      </c>
      <c r="C273" s="25" t="s">
        <v>870</v>
      </c>
      <c r="D273" s="25" t="s">
        <v>871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2054</f>
        <v>2054</v>
      </c>
      <c r="L273" s="32" t="s">
        <v>904</v>
      </c>
      <c r="M273" s="31">
        <f>2088</f>
        <v>2088</v>
      </c>
      <c r="N273" s="32" t="s">
        <v>810</v>
      </c>
      <c r="O273" s="31">
        <f>1946</f>
        <v>1946</v>
      </c>
      <c r="P273" s="32" t="s">
        <v>266</v>
      </c>
      <c r="Q273" s="31">
        <f>1999</f>
        <v>1999</v>
      </c>
      <c r="R273" s="32" t="s">
        <v>94</v>
      </c>
      <c r="S273" s="33">
        <f>2013.2</f>
        <v>2013.2</v>
      </c>
      <c r="T273" s="30">
        <f>14006</f>
        <v>14006</v>
      </c>
      <c r="U273" s="30" t="str">
        <f t="shared" si="11"/>
        <v>－</v>
      </c>
      <c r="V273" s="30">
        <f>28121116</f>
        <v>28121116</v>
      </c>
      <c r="W273" s="30" t="str">
        <f t="shared" si="12"/>
        <v>－</v>
      </c>
      <c r="X273" s="34">
        <f>20</f>
        <v>20</v>
      </c>
    </row>
    <row r="274" spans="1:24" x14ac:dyDescent="0.15">
      <c r="A274" s="25" t="s">
        <v>966</v>
      </c>
      <c r="B274" s="25" t="s">
        <v>872</v>
      </c>
      <c r="C274" s="25" t="s">
        <v>873</v>
      </c>
      <c r="D274" s="25" t="s">
        <v>874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2293</f>
        <v>2293</v>
      </c>
      <c r="L274" s="32" t="s">
        <v>904</v>
      </c>
      <c r="M274" s="31">
        <f>2308</f>
        <v>2308</v>
      </c>
      <c r="N274" s="32" t="s">
        <v>810</v>
      </c>
      <c r="O274" s="31">
        <f>2017</f>
        <v>2017</v>
      </c>
      <c r="P274" s="32" t="s">
        <v>813</v>
      </c>
      <c r="Q274" s="31">
        <f>2121</f>
        <v>2121</v>
      </c>
      <c r="R274" s="32" t="s">
        <v>94</v>
      </c>
      <c r="S274" s="33">
        <f>2130</f>
        <v>2130</v>
      </c>
      <c r="T274" s="30">
        <f>367764</f>
        <v>367764</v>
      </c>
      <c r="U274" s="30" t="str">
        <f t="shared" si="11"/>
        <v>－</v>
      </c>
      <c r="V274" s="30">
        <f>771636831</f>
        <v>771636831</v>
      </c>
      <c r="W274" s="30" t="str">
        <f t="shared" si="12"/>
        <v>－</v>
      </c>
      <c r="X274" s="34">
        <f>20</f>
        <v>20</v>
      </c>
    </row>
    <row r="275" spans="1:24" x14ac:dyDescent="0.15">
      <c r="A275" s="25" t="s">
        <v>966</v>
      </c>
      <c r="B275" s="25" t="s">
        <v>875</v>
      </c>
      <c r="C275" s="25" t="s">
        <v>876</v>
      </c>
      <c r="D275" s="25" t="s">
        <v>877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1954</f>
        <v>1954</v>
      </c>
      <c r="L275" s="32" t="s">
        <v>904</v>
      </c>
      <c r="M275" s="31">
        <f>2007</f>
        <v>2007</v>
      </c>
      <c r="N275" s="32" t="s">
        <v>810</v>
      </c>
      <c r="O275" s="31">
        <f>1844</f>
        <v>1844</v>
      </c>
      <c r="P275" s="32" t="s">
        <v>94</v>
      </c>
      <c r="Q275" s="31">
        <f>1869</f>
        <v>1869</v>
      </c>
      <c r="R275" s="32" t="s">
        <v>94</v>
      </c>
      <c r="S275" s="33">
        <f>1926.6</f>
        <v>1926.6</v>
      </c>
      <c r="T275" s="30">
        <f>85197</f>
        <v>85197</v>
      </c>
      <c r="U275" s="30" t="str">
        <f t="shared" si="11"/>
        <v>－</v>
      </c>
      <c r="V275" s="30">
        <f>162074810</f>
        <v>162074810</v>
      </c>
      <c r="W275" s="30" t="str">
        <f t="shared" si="12"/>
        <v>－</v>
      </c>
      <c r="X275" s="34">
        <f>20</f>
        <v>20</v>
      </c>
    </row>
    <row r="276" spans="1:24" x14ac:dyDescent="0.15">
      <c r="A276" s="25" t="s">
        <v>966</v>
      </c>
      <c r="B276" s="25" t="s">
        <v>878</v>
      </c>
      <c r="C276" s="25" t="s">
        <v>879</v>
      </c>
      <c r="D276" s="25" t="s">
        <v>880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1529</f>
        <v>1529</v>
      </c>
      <c r="L276" s="32" t="s">
        <v>904</v>
      </c>
      <c r="M276" s="31">
        <f>1568</f>
        <v>1568</v>
      </c>
      <c r="N276" s="32" t="s">
        <v>810</v>
      </c>
      <c r="O276" s="31">
        <f>1340</f>
        <v>1340</v>
      </c>
      <c r="P276" s="32" t="s">
        <v>815</v>
      </c>
      <c r="Q276" s="31">
        <f>1423</f>
        <v>1423</v>
      </c>
      <c r="R276" s="32" t="s">
        <v>94</v>
      </c>
      <c r="S276" s="33">
        <f>1488.7</f>
        <v>1488.7</v>
      </c>
      <c r="T276" s="30">
        <f>21575</f>
        <v>21575</v>
      </c>
      <c r="U276" s="30" t="str">
        <f t="shared" si="11"/>
        <v>－</v>
      </c>
      <c r="V276" s="30">
        <f>32230961</f>
        <v>32230961</v>
      </c>
      <c r="W276" s="30" t="str">
        <f t="shared" si="12"/>
        <v>－</v>
      </c>
      <c r="X276" s="34">
        <f>20</f>
        <v>20</v>
      </c>
    </row>
    <row r="277" spans="1:24" x14ac:dyDescent="0.15">
      <c r="A277" s="25" t="s">
        <v>966</v>
      </c>
      <c r="B277" s="25" t="s">
        <v>881</v>
      </c>
      <c r="C277" s="25" t="s">
        <v>882</v>
      </c>
      <c r="D277" s="25" t="s">
        <v>883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5043</f>
        <v>5043</v>
      </c>
      <c r="L277" s="32" t="s">
        <v>810</v>
      </c>
      <c r="M277" s="31">
        <f>5125</f>
        <v>5125</v>
      </c>
      <c r="N277" s="32" t="s">
        <v>94</v>
      </c>
      <c r="O277" s="31">
        <f>4998</f>
        <v>4998</v>
      </c>
      <c r="P277" s="32" t="s">
        <v>912</v>
      </c>
      <c r="Q277" s="31">
        <f>5125</f>
        <v>5125</v>
      </c>
      <c r="R277" s="32" t="s">
        <v>94</v>
      </c>
      <c r="S277" s="33">
        <f>5064.47</f>
        <v>5064.47</v>
      </c>
      <c r="T277" s="30">
        <f>328720</f>
        <v>328720</v>
      </c>
      <c r="U277" s="30">
        <f>19900</f>
        <v>19900</v>
      </c>
      <c r="V277" s="30">
        <f>1668160360</f>
        <v>1668160360</v>
      </c>
      <c r="W277" s="30">
        <f>99991530</f>
        <v>99991530</v>
      </c>
      <c r="X277" s="34">
        <f>15</f>
        <v>15</v>
      </c>
    </row>
    <row r="278" spans="1:24" x14ac:dyDescent="0.15">
      <c r="A278" s="25" t="s">
        <v>966</v>
      </c>
      <c r="B278" s="25" t="s">
        <v>884</v>
      </c>
      <c r="C278" s="25" t="s">
        <v>885</v>
      </c>
      <c r="D278" s="25" t="s">
        <v>886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4645</f>
        <v>4645</v>
      </c>
      <c r="L278" s="32" t="s">
        <v>810</v>
      </c>
      <c r="M278" s="31">
        <f>4645</f>
        <v>4645</v>
      </c>
      <c r="N278" s="32" t="s">
        <v>810</v>
      </c>
      <c r="O278" s="31">
        <f>4440</f>
        <v>4440</v>
      </c>
      <c r="P278" s="32" t="s">
        <v>908</v>
      </c>
      <c r="Q278" s="31">
        <f>4497</f>
        <v>4497</v>
      </c>
      <c r="R278" s="32" t="s">
        <v>94</v>
      </c>
      <c r="S278" s="33">
        <f>4530</f>
        <v>4530</v>
      </c>
      <c r="T278" s="30">
        <f>244600</f>
        <v>244600</v>
      </c>
      <c r="U278" s="30">
        <f>106000</f>
        <v>106000</v>
      </c>
      <c r="V278" s="30">
        <f>1099011760</f>
        <v>1099011760</v>
      </c>
      <c r="W278" s="30">
        <f>474402400</f>
        <v>474402400</v>
      </c>
      <c r="X278" s="34">
        <f>10</f>
        <v>10</v>
      </c>
    </row>
    <row r="279" spans="1:24" x14ac:dyDescent="0.15">
      <c r="A279" s="25" t="s">
        <v>966</v>
      </c>
      <c r="B279" s="25" t="s">
        <v>887</v>
      </c>
      <c r="C279" s="25" t="s">
        <v>888</v>
      </c>
      <c r="D279" s="25" t="s">
        <v>889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770.4</f>
        <v>770.4</v>
      </c>
      <c r="L279" s="32" t="s">
        <v>811</v>
      </c>
      <c r="M279" s="31">
        <f>770.4</f>
        <v>770.4</v>
      </c>
      <c r="N279" s="32" t="s">
        <v>811</v>
      </c>
      <c r="O279" s="31">
        <f>744.1</f>
        <v>744.1</v>
      </c>
      <c r="P279" s="32" t="s">
        <v>815</v>
      </c>
      <c r="Q279" s="31">
        <f>749.6</f>
        <v>749.6</v>
      </c>
      <c r="R279" s="32" t="s">
        <v>94</v>
      </c>
      <c r="S279" s="33">
        <f>755.39</f>
        <v>755.39</v>
      </c>
      <c r="T279" s="30">
        <f>75300</f>
        <v>75300</v>
      </c>
      <c r="U279" s="30" t="str">
        <f>"－"</f>
        <v>－</v>
      </c>
      <c r="V279" s="30">
        <f>56738848</f>
        <v>56738848</v>
      </c>
      <c r="W279" s="30" t="str">
        <f>"－"</f>
        <v>－</v>
      </c>
      <c r="X279" s="34">
        <f>16</f>
        <v>16</v>
      </c>
    </row>
    <row r="280" spans="1:24" x14ac:dyDescent="0.15">
      <c r="A280" s="25" t="s">
        <v>966</v>
      </c>
      <c r="B280" s="25" t="s">
        <v>891</v>
      </c>
      <c r="C280" s="25" t="s">
        <v>892</v>
      </c>
      <c r="D280" s="25" t="s">
        <v>893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2309</f>
        <v>2309</v>
      </c>
      <c r="L280" s="32" t="s">
        <v>904</v>
      </c>
      <c r="M280" s="31">
        <f>2446</f>
        <v>2446</v>
      </c>
      <c r="N280" s="32" t="s">
        <v>810</v>
      </c>
      <c r="O280" s="31">
        <f>2098</f>
        <v>2098</v>
      </c>
      <c r="P280" s="32" t="s">
        <v>266</v>
      </c>
      <c r="Q280" s="31">
        <f>2120</f>
        <v>2120</v>
      </c>
      <c r="R280" s="32" t="s">
        <v>94</v>
      </c>
      <c r="S280" s="33">
        <f>2273.5</f>
        <v>2273.5</v>
      </c>
      <c r="T280" s="30">
        <f>89109</f>
        <v>89109</v>
      </c>
      <c r="U280" s="30" t="str">
        <f>"－"</f>
        <v>－</v>
      </c>
      <c r="V280" s="30">
        <f>205106142</f>
        <v>205106142</v>
      </c>
      <c r="W280" s="30" t="str">
        <f>"－"</f>
        <v>－</v>
      </c>
      <c r="X280" s="34">
        <f>20</f>
        <v>20</v>
      </c>
    </row>
    <row r="281" spans="1:24" x14ac:dyDescent="0.15">
      <c r="A281" s="25" t="s">
        <v>966</v>
      </c>
      <c r="B281" s="25" t="s">
        <v>894</v>
      </c>
      <c r="C281" s="25" t="s">
        <v>895</v>
      </c>
      <c r="D281" s="25" t="s">
        <v>896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1880</f>
        <v>1880</v>
      </c>
      <c r="L281" s="32" t="s">
        <v>904</v>
      </c>
      <c r="M281" s="31">
        <f>1968</f>
        <v>1968</v>
      </c>
      <c r="N281" s="32" t="s">
        <v>810</v>
      </c>
      <c r="O281" s="31">
        <f>1796</f>
        <v>1796</v>
      </c>
      <c r="P281" s="32" t="s">
        <v>815</v>
      </c>
      <c r="Q281" s="31">
        <f>1857</f>
        <v>1857</v>
      </c>
      <c r="R281" s="32" t="s">
        <v>94</v>
      </c>
      <c r="S281" s="33">
        <f>1873.55</f>
        <v>1873.55</v>
      </c>
      <c r="T281" s="30">
        <f>1087</f>
        <v>1087</v>
      </c>
      <c r="U281" s="30" t="str">
        <f>"－"</f>
        <v>－</v>
      </c>
      <c r="V281" s="30">
        <f>1999411</f>
        <v>1999411</v>
      </c>
      <c r="W281" s="30" t="str">
        <f>"－"</f>
        <v>－</v>
      </c>
      <c r="X281" s="34">
        <f>20</f>
        <v>20</v>
      </c>
    </row>
    <row r="282" spans="1:24" x14ac:dyDescent="0.15">
      <c r="A282" s="25" t="s">
        <v>966</v>
      </c>
      <c r="B282" s="25" t="s">
        <v>897</v>
      </c>
      <c r="C282" s="25" t="s">
        <v>898</v>
      </c>
      <c r="D282" s="25" t="s">
        <v>899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7533</f>
        <v>7533</v>
      </c>
      <c r="L282" s="32" t="s">
        <v>811</v>
      </c>
      <c r="M282" s="31">
        <f>7729</f>
        <v>7729</v>
      </c>
      <c r="N282" s="32" t="s">
        <v>94</v>
      </c>
      <c r="O282" s="31">
        <f>7440</f>
        <v>7440</v>
      </c>
      <c r="P282" s="32" t="s">
        <v>821</v>
      </c>
      <c r="Q282" s="31">
        <f>7729</f>
        <v>7729</v>
      </c>
      <c r="R282" s="32" t="s">
        <v>94</v>
      </c>
      <c r="S282" s="33">
        <f>7544.79</f>
        <v>7544.79</v>
      </c>
      <c r="T282" s="30">
        <f>258803</f>
        <v>258803</v>
      </c>
      <c r="U282" s="30">
        <f>105350</f>
        <v>105350</v>
      </c>
      <c r="V282" s="30">
        <f>1951455702</f>
        <v>1951455702</v>
      </c>
      <c r="W282" s="30">
        <f>795659053</f>
        <v>795659053</v>
      </c>
      <c r="X282" s="34">
        <f>19</f>
        <v>19</v>
      </c>
    </row>
    <row r="283" spans="1:24" x14ac:dyDescent="0.15">
      <c r="A283" s="25" t="s">
        <v>966</v>
      </c>
      <c r="B283" s="25" t="s">
        <v>900</v>
      </c>
      <c r="C283" s="25" t="s">
        <v>901</v>
      </c>
      <c r="D283" s="25" t="s">
        <v>902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6950</f>
        <v>6950</v>
      </c>
      <c r="L283" s="32" t="s">
        <v>904</v>
      </c>
      <c r="M283" s="31">
        <f>6990</f>
        <v>6990</v>
      </c>
      <c r="N283" s="32" t="s">
        <v>915</v>
      </c>
      <c r="O283" s="31">
        <f>6635</f>
        <v>6635</v>
      </c>
      <c r="P283" s="32" t="s">
        <v>908</v>
      </c>
      <c r="Q283" s="31">
        <f>6721</f>
        <v>6721</v>
      </c>
      <c r="R283" s="32" t="s">
        <v>94</v>
      </c>
      <c r="S283" s="33">
        <f>6790</f>
        <v>6790</v>
      </c>
      <c r="T283" s="30">
        <f>73837</f>
        <v>73837</v>
      </c>
      <c r="U283" s="30">
        <f>29700</f>
        <v>29700</v>
      </c>
      <c r="V283" s="30">
        <f>497016662</f>
        <v>497016662</v>
      </c>
      <c r="W283" s="30">
        <f>199353753</f>
        <v>199353753</v>
      </c>
      <c r="X283" s="34">
        <f>17</f>
        <v>17</v>
      </c>
    </row>
    <row r="284" spans="1:24" x14ac:dyDescent="0.15">
      <c r="A284" s="25" t="s">
        <v>966</v>
      </c>
      <c r="B284" s="25" t="s">
        <v>916</v>
      </c>
      <c r="C284" s="25" t="s">
        <v>917</v>
      </c>
      <c r="D284" s="25" t="s">
        <v>918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17095</f>
        <v>17095</v>
      </c>
      <c r="L284" s="32" t="s">
        <v>904</v>
      </c>
      <c r="M284" s="31">
        <f>17520</f>
        <v>17520</v>
      </c>
      <c r="N284" s="32" t="s">
        <v>810</v>
      </c>
      <c r="O284" s="31">
        <f>15550</f>
        <v>15550</v>
      </c>
      <c r="P284" s="32" t="s">
        <v>266</v>
      </c>
      <c r="Q284" s="31">
        <f>16135</f>
        <v>16135</v>
      </c>
      <c r="R284" s="32" t="s">
        <v>94</v>
      </c>
      <c r="S284" s="33">
        <f>16716</f>
        <v>16716</v>
      </c>
      <c r="T284" s="30">
        <f>24506</f>
        <v>24506</v>
      </c>
      <c r="U284" s="30" t="str">
        <f>"－"</f>
        <v>－</v>
      </c>
      <c r="V284" s="30">
        <f>407439265</f>
        <v>407439265</v>
      </c>
      <c r="W284" s="30" t="str">
        <f>"－"</f>
        <v>－</v>
      </c>
      <c r="X284" s="34">
        <f>20</f>
        <v>20</v>
      </c>
    </row>
    <row r="285" spans="1:24" x14ac:dyDescent="0.15">
      <c r="A285" s="25" t="s">
        <v>966</v>
      </c>
      <c r="B285" s="25" t="s">
        <v>920</v>
      </c>
      <c r="C285" s="25" t="s">
        <v>921</v>
      </c>
      <c r="D285" s="25" t="s">
        <v>922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10625</f>
        <v>10625</v>
      </c>
      <c r="L285" s="32" t="s">
        <v>904</v>
      </c>
      <c r="M285" s="31">
        <f>10780</f>
        <v>10780</v>
      </c>
      <c r="N285" s="32" t="s">
        <v>810</v>
      </c>
      <c r="O285" s="31">
        <f>9162</f>
        <v>9162</v>
      </c>
      <c r="P285" s="32" t="s">
        <v>266</v>
      </c>
      <c r="Q285" s="31">
        <f>9319</f>
        <v>9319</v>
      </c>
      <c r="R285" s="32" t="s">
        <v>94</v>
      </c>
      <c r="S285" s="33">
        <f>10001.45</f>
        <v>10001.450000000001</v>
      </c>
      <c r="T285" s="30">
        <f>193132</f>
        <v>193132</v>
      </c>
      <c r="U285" s="30" t="str">
        <f>"－"</f>
        <v>－</v>
      </c>
      <c r="V285" s="30">
        <f>1850880842</f>
        <v>1850880842</v>
      </c>
      <c r="W285" s="30" t="str">
        <f>"－"</f>
        <v>－</v>
      </c>
      <c r="X285" s="34">
        <f>20</f>
        <v>20</v>
      </c>
    </row>
    <row r="286" spans="1:24" x14ac:dyDescent="0.15">
      <c r="A286" s="25" t="s">
        <v>966</v>
      </c>
      <c r="B286" s="25" t="s">
        <v>923</v>
      </c>
      <c r="C286" s="25" t="s">
        <v>924</v>
      </c>
      <c r="D286" s="25" t="s">
        <v>925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26265</f>
        <v>26265</v>
      </c>
      <c r="L286" s="32" t="s">
        <v>904</v>
      </c>
      <c r="M286" s="31">
        <f>30000</f>
        <v>30000</v>
      </c>
      <c r="N286" s="32" t="s">
        <v>266</v>
      </c>
      <c r="O286" s="31">
        <f>25785</f>
        <v>25785</v>
      </c>
      <c r="P286" s="32" t="s">
        <v>810</v>
      </c>
      <c r="Q286" s="31">
        <f>29505</f>
        <v>29505</v>
      </c>
      <c r="R286" s="32" t="s">
        <v>94</v>
      </c>
      <c r="S286" s="33">
        <f>27711.75</f>
        <v>27711.75</v>
      </c>
      <c r="T286" s="30">
        <f>130608</f>
        <v>130608</v>
      </c>
      <c r="U286" s="30" t="str">
        <f>"－"</f>
        <v>－</v>
      </c>
      <c r="V286" s="30">
        <f>3692380090</f>
        <v>3692380090</v>
      </c>
      <c r="W286" s="30" t="str">
        <f>"－"</f>
        <v>－</v>
      </c>
      <c r="X286" s="34">
        <f>20</f>
        <v>20</v>
      </c>
    </row>
    <row r="287" spans="1:24" x14ac:dyDescent="0.15">
      <c r="A287" s="25" t="s">
        <v>966</v>
      </c>
      <c r="B287" s="25" t="s">
        <v>926</v>
      </c>
      <c r="C287" s="25" t="s">
        <v>927</v>
      </c>
      <c r="D287" s="25" t="s">
        <v>928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4723</f>
        <v>4723</v>
      </c>
      <c r="L287" s="32" t="s">
        <v>904</v>
      </c>
      <c r="M287" s="31">
        <f>5876</f>
        <v>5876</v>
      </c>
      <c r="N287" s="32" t="s">
        <v>814</v>
      </c>
      <c r="O287" s="31">
        <f>4620</f>
        <v>4620</v>
      </c>
      <c r="P287" s="32" t="s">
        <v>908</v>
      </c>
      <c r="Q287" s="31">
        <f>4637</f>
        <v>4637</v>
      </c>
      <c r="R287" s="32" t="s">
        <v>266</v>
      </c>
      <c r="S287" s="33">
        <f>4717.06</f>
        <v>4717.0600000000004</v>
      </c>
      <c r="T287" s="30">
        <f>133310</f>
        <v>133310</v>
      </c>
      <c r="U287" s="30" t="str">
        <f>"－"</f>
        <v>－</v>
      </c>
      <c r="V287" s="30">
        <f>623360530</f>
        <v>623360530</v>
      </c>
      <c r="W287" s="30" t="str">
        <f>"－"</f>
        <v>－</v>
      </c>
      <c r="X287" s="34">
        <f>16</f>
        <v>16</v>
      </c>
    </row>
    <row r="288" spans="1:24" x14ac:dyDescent="0.15">
      <c r="A288" s="25" t="s">
        <v>966</v>
      </c>
      <c r="B288" s="25" t="s">
        <v>930</v>
      </c>
      <c r="C288" s="25" t="s">
        <v>931</v>
      </c>
      <c r="D288" s="25" t="s">
        <v>932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5250</f>
        <v>5250</v>
      </c>
      <c r="L288" s="32" t="s">
        <v>904</v>
      </c>
      <c r="M288" s="31">
        <f>5398</f>
        <v>5398</v>
      </c>
      <c r="N288" s="32" t="s">
        <v>66</v>
      </c>
      <c r="O288" s="31">
        <f>5137</f>
        <v>5137</v>
      </c>
      <c r="P288" s="32" t="s">
        <v>266</v>
      </c>
      <c r="Q288" s="31">
        <f>5141</f>
        <v>5141</v>
      </c>
      <c r="R288" s="32" t="s">
        <v>94</v>
      </c>
      <c r="S288" s="33">
        <f>5277.11</f>
        <v>5277.11</v>
      </c>
      <c r="T288" s="30">
        <f>304090</f>
        <v>304090</v>
      </c>
      <c r="U288" s="30">
        <f>31510</f>
        <v>31510</v>
      </c>
      <c r="V288" s="30">
        <f>1620378522</f>
        <v>1620378522</v>
      </c>
      <c r="W288" s="30">
        <f>166600712</f>
        <v>166600712</v>
      </c>
      <c r="X288" s="34">
        <f>18</f>
        <v>18</v>
      </c>
    </row>
    <row r="289" spans="1:24" x14ac:dyDescent="0.15">
      <c r="A289" s="25" t="s">
        <v>966</v>
      </c>
      <c r="B289" s="25" t="s">
        <v>949</v>
      </c>
      <c r="C289" s="25" t="s">
        <v>950</v>
      </c>
      <c r="D289" s="25" t="s">
        <v>951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2207</f>
        <v>2207</v>
      </c>
      <c r="L289" s="32" t="s">
        <v>904</v>
      </c>
      <c r="M289" s="31">
        <f>2255</f>
        <v>2255</v>
      </c>
      <c r="N289" s="32" t="s">
        <v>810</v>
      </c>
      <c r="O289" s="31">
        <f>1903.5</f>
        <v>1903.5</v>
      </c>
      <c r="P289" s="32" t="s">
        <v>266</v>
      </c>
      <c r="Q289" s="31">
        <f>1934.5</f>
        <v>1934.5</v>
      </c>
      <c r="R289" s="32" t="s">
        <v>94</v>
      </c>
      <c r="S289" s="33">
        <f>2082.58</f>
        <v>2082.58</v>
      </c>
      <c r="T289" s="30">
        <f>1739450</f>
        <v>1739450</v>
      </c>
      <c r="U289" s="30">
        <f>264300</f>
        <v>264300</v>
      </c>
      <c r="V289" s="30">
        <f>3521340956</f>
        <v>3521340956</v>
      </c>
      <c r="W289" s="30">
        <f>517371301</f>
        <v>517371301</v>
      </c>
      <c r="X289" s="34">
        <f>20</f>
        <v>20</v>
      </c>
    </row>
    <row r="290" spans="1:24" x14ac:dyDescent="0.15">
      <c r="A290" s="25" t="s">
        <v>966</v>
      </c>
      <c r="B290" s="25" t="s">
        <v>953</v>
      </c>
      <c r="C290" s="25" t="s">
        <v>954</v>
      </c>
      <c r="D290" s="25" t="s">
        <v>955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2090</f>
        <v>2090</v>
      </c>
      <c r="L290" s="32" t="s">
        <v>904</v>
      </c>
      <c r="M290" s="31">
        <f>2107</f>
        <v>2107</v>
      </c>
      <c r="N290" s="32" t="s">
        <v>811</v>
      </c>
      <c r="O290" s="31">
        <f>1950</f>
        <v>1950</v>
      </c>
      <c r="P290" s="32" t="s">
        <v>70</v>
      </c>
      <c r="Q290" s="31">
        <f>1970</f>
        <v>1970</v>
      </c>
      <c r="R290" s="32" t="s">
        <v>94</v>
      </c>
      <c r="S290" s="33">
        <f>2034.35</f>
        <v>2034.35</v>
      </c>
      <c r="T290" s="30">
        <f>958530</f>
        <v>958530</v>
      </c>
      <c r="U290" s="30">
        <f>952200</f>
        <v>952200</v>
      </c>
      <c r="V290" s="30">
        <f>1917368335</f>
        <v>1917368335</v>
      </c>
      <c r="W290" s="30">
        <f>1904529680</f>
        <v>1904529680</v>
      </c>
      <c r="X290" s="34">
        <f>20</f>
        <v>20</v>
      </c>
    </row>
    <row r="291" spans="1:24" x14ac:dyDescent="0.15">
      <c r="A291" s="25" t="s">
        <v>966</v>
      </c>
      <c r="B291" s="25" t="s">
        <v>956</v>
      </c>
      <c r="C291" s="25" t="s">
        <v>957</v>
      </c>
      <c r="D291" s="25" t="s">
        <v>958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1532</f>
        <v>1532</v>
      </c>
      <c r="L291" s="32" t="s">
        <v>904</v>
      </c>
      <c r="M291" s="31">
        <f>1587</f>
        <v>1587</v>
      </c>
      <c r="N291" s="32" t="s">
        <v>810</v>
      </c>
      <c r="O291" s="31">
        <f>1431</f>
        <v>1431</v>
      </c>
      <c r="P291" s="32" t="s">
        <v>266</v>
      </c>
      <c r="Q291" s="31">
        <f>1486</f>
        <v>1486</v>
      </c>
      <c r="R291" s="32" t="s">
        <v>94</v>
      </c>
      <c r="S291" s="33">
        <f>1500.65</f>
        <v>1500.65</v>
      </c>
      <c r="T291" s="30">
        <f>96529</f>
        <v>96529</v>
      </c>
      <c r="U291" s="30" t="str">
        <f>"－"</f>
        <v>－</v>
      </c>
      <c r="V291" s="30">
        <f>144014792</f>
        <v>144014792</v>
      </c>
      <c r="W291" s="30" t="str">
        <f>"－"</f>
        <v>－</v>
      </c>
      <c r="X291" s="34">
        <f>20</f>
        <v>20</v>
      </c>
    </row>
    <row r="292" spans="1:24" x14ac:dyDescent="0.15">
      <c r="A292" s="25" t="s">
        <v>966</v>
      </c>
      <c r="B292" s="25" t="s">
        <v>960</v>
      </c>
      <c r="C292" s="25" t="s">
        <v>961</v>
      </c>
      <c r="D292" s="25" t="s">
        <v>962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1560</f>
        <v>1560</v>
      </c>
      <c r="L292" s="32" t="s">
        <v>904</v>
      </c>
      <c r="M292" s="31">
        <f>1574</f>
        <v>1574</v>
      </c>
      <c r="N292" s="32" t="s">
        <v>811</v>
      </c>
      <c r="O292" s="31">
        <f>1469</f>
        <v>1469</v>
      </c>
      <c r="P292" s="32" t="s">
        <v>266</v>
      </c>
      <c r="Q292" s="31">
        <f>1507</f>
        <v>1507</v>
      </c>
      <c r="R292" s="32" t="s">
        <v>94</v>
      </c>
      <c r="S292" s="33">
        <f>1526.45</f>
        <v>1526.45</v>
      </c>
      <c r="T292" s="30">
        <f>129524</f>
        <v>129524</v>
      </c>
      <c r="U292" s="30" t="str">
        <f>"－"</f>
        <v>－</v>
      </c>
      <c r="V292" s="30">
        <f>198436439</f>
        <v>198436439</v>
      </c>
      <c r="W292" s="30" t="str">
        <f>"－"</f>
        <v>－</v>
      </c>
      <c r="X292" s="34">
        <f>20</f>
        <v>20</v>
      </c>
    </row>
    <row r="293" spans="1:24" x14ac:dyDescent="0.15">
      <c r="A293" s="25" t="s">
        <v>966</v>
      </c>
      <c r="B293" s="25" t="s">
        <v>963</v>
      </c>
      <c r="C293" s="25" t="s">
        <v>964</v>
      </c>
      <c r="D293" s="25" t="s">
        <v>965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2949</f>
        <v>2949</v>
      </c>
      <c r="L293" s="32" t="s">
        <v>904</v>
      </c>
      <c r="M293" s="31">
        <f>3045</f>
        <v>3045</v>
      </c>
      <c r="N293" s="32" t="s">
        <v>87</v>
      </c>
      <c r="O293" s="31">
        <f>2935</f>
        <v>2935</v>
      </c>
      <c r="P293" s="32" t="s">
        <v>266</v>
      </c>
      <c r="Q293" s="31">
        <f>3000</f>
        <v>3000</v>
      </c>
      <c r="R293" s="32" t="s">
        <v>94</v>
      </c>
      <c r="S293" s="33">
        <f>2989.65</f>
        <v>2989.65</v>
      </c>
      <c r="T293" s="30">
        <f>12828</f>
        <v>12828</v>
      </c>
      <c r="U293" s="30" t="str">
        <f>"－"</f>
        <v>－</v>
      </c>
      <c r="V293" s="30">
        <f>38268621</f>
        <v>38268621</v>
      </c>
      <c r="W293" s="30" t="str">
        <f>"－"</f>
        <v>－</v>
      </c>
      <c r="X293" s="34">
        <f>20</f>
        <v>20</v>
      </c>
    </row>
    <row r="294" spans="1:24" x14ac:dyDescent="0.15">
      <c r="A294" s="25" t="s">
        <v>966</v>
      </c>
      <c r="B294" s="25" t="s">
        <v>967</v>
      </c>
      <c r="C294" s="25" t="s">
        <v>968</v>
      </c>
      <c r="D294" s="25" t="s">
        <v>969</v>
      </c>
      <c r="E294" s="26" t="s">
        <v>808</v>
      </c>
      <c r="F294" s="27" t="s">
        <v>809</v>
      </c>
      <c r="G294" s="28" t="s">
        <v>970</v>
      </c>
      <c r="H294" s="29"/>
      <c r="I294" s="29" t="s">
        <v>46</v>
      </c>
      <c r="J294" s="30">
        <v>10</v>
      </c>
      <c r="K294" s="31">
        <f>2011</f>
        <v>2011</v>
      </c>
      <c r="L294" s="32" t="s">
        <v>912</v>
      </c>
      <c r="M294" s="31">
        <f>2011</f>
        <v>2011</v>
      </c>
      <c r="N294" s="32" t="s">
        <v>912</v>
      </c>
      <c r="O294" s="31">
        <f>1908</f>
        <v>1908</v>
      </c>
      <c r="P294" s="32" t="s">
        <v>266</v>
      </c>
      <c r="Q294" s="31">
        <f>1909</f>
        <v>1909</v>
      </c>
      <c r="R294" s="32" t="s">
        <v>266</v>
      </c>
      <c r="S294" s="33">
        <f>1958.27</f>
        <v>1958.27</v>
      </c>
      <c r="T294" s="30">
        <f>38800</f>
        <v>38800</v>
      </c>
      <c r="U294" s="30">
        <f>10000</f>
        <v>10000</v>
      </c>
      <c r="V294" s="30">
        <f>76395545</f>
        <v>76395545</v>
      </c>
      <c r="W294" s="30">
        <f>19821800</f>
        <v>19821800</v>
      </c>
      <c r="X294" s="34">
        <f>13</f>
        <v>13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2022.12</vt:lpstr>
      <vt:lpstr>2022.11</vt:lpstr>
      <vt:lpstr>2022.10</vt:lpstr>
      <vt:lpstr>2022.09</vt:lpstr>
      <vt:lpstr>2022.08</vt:lpstr>
      <vt:lpstr>2022.07</vt:lpstr>
      <vt:lpstr>2022.06</vt:lpstr>
      <vt:lpstr>2022.05</vt:lpstr>
      <vt:lpstr>2022.04</vt:lpstr>
      <vt:lpstr>2022.03</vt:lpstr>
      <vt:lpstr>2022.02</vt:lpstr>
      <vt:lpstr>2022.01</vt:lpstr>
      <vt:lpstr>'2022.01'!Print_Titles</vt:lpstr>
      <vt:lpstr>'2022.02'!Print_Titles</vt:lpstr>
      <vt:lpstr>'2022.03'!Print_Titles</vt:lpstr>
      <vt:lpstr>'2022.04'!Print_Titles</vt:lpstr>
      <vt:lpstr>'2022.05'!Print_Titles</vt:lpstr>
      <vt:lpstr>'2022.06'!Print_Titles</vt:lpstr>
      <vt:lpstr>'2022.07'!Print_Titles</vt:lpstr>
      <vt:lpstr>'2022.08'!Print_Titles</vt:lpstr>
      <vt:lpstr>'2022.09'!Print_Titles</vt:lpstr>
      <vt:lpstr>'2022.10'!Print_Titles</vt:lpstr>
      <vt:lpstr>'2022.11'!Print_Titles</vt:lpstr>
      <vt:lpstr>'2022.12'!Print_Titles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麻子</dc:creator>
  <cp:lastModifiedBy>Tokyo Stock Exchange</cp:lastModifiedBy>
  <dcterms:created xsi:type="dcterms:W3CDTF">2022-02-07T04:54:12Z</dcterms:created>
  <dcterms:modified xsi:type="dcterms:W3CDTF">2023-01-06T07:08:06Z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2023-01-06T07:08:06Z</vt:filetime>
  </property>
</Properties>
</file>